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57_Tagespflege\Tagespflege\Berichte - Bestätigungen TPs\Bestätigungen Verdienst Steuer u.v.m\- Vorlagen\Kalkulationstabellen\"/>
    </mc:Choice>
  </mc:AlternateContent>
  <bookViews>
    <workbookView xWindow="-5895" yWindow="1770" windowWidth="24240" windowHeight="12000"/>
  </bookViews>
  <sheets>
    <sheet name="20xx" sheetId="1" r:id="rId1"/>
    <sheet name="Steuertabelle" sheetId="2" r:id="rId2"/>
  </sheets>
  <calcPr calcId="162913"/>
</workbook>
</file>

<file path=xl/calcChain.xml><?xml version="1.0" encoding="utf-8"?>
<calcChain xmlns="http://schemas.openxmlformats.org/spreadsheetml/2006/main">
  <c r="D17" i="1" l="1"/>
  <c r="H36" i="1" l="1"/>
  <c r="H35" i="1"/>
  <c r="G14" i="1" l="1"/>
  <c r="G13" i="1"/>
  <c r="G12" i="1"/>
  <c r="G11" i="1"/>
  <c r="G10" i="1"/>
  <c r="G9" i="1"/>
  <c r="G8" i="1"/>
  <c r="G7" i="1"/>
  <c r="G6" i="1"/>
  <c r="D19" i="1"/>
  <c r="G5" i="1"/>
  <c r="F33" i="2" l="1"/>
  <c r="F25" i="2"/>
  <c r="M18" i="1" l="1"/>
  <c r="N18" i="1"/>
  <c r="O18" i="1"/>
  <c r="M17" i="1"/>
  <c r="N17" i="1"/>
  <c r="O17" i="1"/>
  <c r="F17" i="1" l="1"/>
  <c r="F18" i="1"/>
  <c r="F19" i="1"/>
  <c r="F16" i="1"/>
  <c r="E16" i="1"/>
  <c r="D6" i="1"/>
  <c r="G16" i="1" l="1"/>
  <c r="D16" i="1"/>
  <c r="F7" i="1" l="1"/>
  <c r="F8" i="1"/>
  <c r="F9" i="1"/>
  <c r="F10" i="1"/>
  <c r="F11" i="1"/>
  <c r="F12" i="1"/>
  <c r="F13" i="1"/>
  <c r="F14" i="1"/>
  <c r="F6" i="1"/>
  <c r="E6" i="1" s="1"/>
  <c r="F5" i="1"/>
  <c r="D7" i="1" l="1"/>
  <c r="E7" i="1" s="1"/>
  <c r="D8" i="1"/>
  <c r="E8" i="1" s="1"/>
  <c r="D9" i="1"/>
  <c r="E9" i="1" s="1"/>
  <c r="D10" i="1"/>
  <c r="E10" i="1" s="1"/>
  <c r="D11" i="1"/>
  <c r="D12" i="1"/>
  <c r="D13" i="1"/>
  <c r="D14" i="1"/>
  <c r="D5" i="1"/>
  <c r="E5" i="1" s="1"/>
  <c r="F22" i="1" l="1"/>
  <c r="F4" i="2"/>
  <c r="F29" i="2" l="1"/>
  <c r="M20" i="1" l="1"/>
  <c r="K20" i="1"/>
  <c r="N20" i="1" l="1"/>
  <c r="M19" i="1" l="1"/>
  <c r="G19" i="1" l="1"/>
  <c r="N19" i="1" l="1"/>
  <c r="K19" i="1"/>
  <c r="B19" i="1" l="1"/>
  <c r="G18" i="1" l="1"/>
  <c r="G17" i="1"/>
  <c r="D18" i="1"/>
  <c r="K18" i="1"/>
  <c r="B18" i="1" s="1"/>
  <c r="K17" i="1" l="1"/>
  <c r="B17" i="1" s="1"/>
  <c r="K16" i="1"/>
  <c r="B16" i="1" s="1"/>
  <c r="E19" i="1"/>
  <c r="E18" i="1"/>
  <c r="E17" i="1"/>
  <c r="H32" i="1" l="1"/>
  <c r="I32" i="1"/>
  <c r="E13" i="1"/>
  <c r="E12" i="1"/>
  <c r="E11" i="1"/>
  <c r="I13" i="1"/>
  <c r="B13" i="1"/>
  <c r="I14" i="1"/>
  <c r="J14" i="1" s="1"/>
  <c r="H14" i="1" s="1"/>
  <c r="B14" i="1"/>
  <c r="I18" i="1"/>
  <c r="J18" i="1" s="1"/>
  <c r="H18" i="1" s="1"/>
  <c r="I19" i="1"/>
  <c r="J19" i="1" s="1"/>
  <c r="H19" i="1" s="1"/>
  <c r="I7" i="1"/>
  <c r="J7" i="1" s="1"/>
  <c r="H7" i="1" s="1"/>
  <c r="I8" i="1"/>
  <c r="J8" i="1" s="1"/>
  <c r="H8" i="1" s="1"/>
  <c r="I6" i="1"/>
  <c r="J6" i="1" s="1"/>
  <c r="H6" i="1" s="1"/>
  <c r="H12" i="2"/>
  <c r="I5" i="1"/>
  <c r="J5" i="1" s="1"/>
  <c r="H5" i="1" s="1"/>
  <c r="B8" i="1"/>
  <c r="B7" i="1"/>
  <c r="B6" i="1"/>
  <c r="B5" i="1"/>
  <c r="B10" i="1"/>
  <c r="C22" i="1"/>
  <c r="J21" i="1"/>
  <c r="J20" i="1"/>
  <c r="I10" i="1"/>
  <c r="J10" i="1" s="1"/>
  <c r="B11" i="1"/>
  <c r="B12" i="1"/>
  <c r="I11" i="1"/>
  <c r="J11" i="1" s="1"/>
  <c r="H11" i="1" s="1"/>
  <c r="I12" i="1"/>
  <c r="J12" i="1" s="1"/>
  <c r="H12" i="1" s="1"/>
  <c r="I16" i="1"/>
  <c r="J16" i="1" s="1"/>
  <c r="H16" i="1" s="1"/>
  <c r="I17" i="1"/>
  <c r="J17" i="1" s="1"/>
  <c r="H17" i="1" s="1"/>
  <c r="H4" i="2"/>
  <c r="H8" i="2"/>
  <c r="B9" i="1"/>
  <c r="I9" i="1"/>
  <c r="J9" i="1" s="1"/>
  <c r="H9" i="1" s="1"/>
  <c r="G22" i="1" l="1"/>
  <c r="C25" i="1" s="1"/>
  <c r="D22" i="1"/>
  <c r="C24" i="1" s="1"/>
  <c r="C26" i="1" s="1"/>
  <c r="C28" i="1" s="1"/>
  <c r="E14" i="1"/>
  <c r="B22" i="1"/>
  <c r="K22" i="1"/>
  <c r="J22" i="1"/>
  <c r="H10" i="1"/>
  <c r="J13" i="1"/>
  <c r="H13" i="1" s="1"/>
  <c r="E22" i="1" l="1"/>
  <c r="C34" i="1"/>
  <c r="H22" i="1"/>
  <c r="C49" i="1" s="1"/>
  <c r="B49" i="1" l="1"/>
  <c r="C51" i="1"/>
  <c r="C29" i="1"/>
  <c r="C30" i="1" s="1"/>
  <c r="G33" i="1" s="1"/>
  <c r="I31" i="1" l="1"/>
  <c r="C36" i="1" s="1"/>
  <c r="I34" i="1"/>
  <c r="C38" i="1" s="1"/>
  <c r="I33" i="1"/>
  <c r="C37" i="1" s="1"/>
  <c r="A30" i="2"/>
  <c r="F30" i="2" s="1"/>
  <c r="A34" i="2"/>
  <c r="F34" i="2" s="1"/>
  <c r="A26" i="2"/>
  <c r="F26" i="2" s="1"/>
  <c r="C40" i="1"/>
  <c r="G30" i="1"/>
  <c r="C42" i="1" l="1"/>
  <c r="C41" i="1"/>
  <c r="A13" i="2"/>
  <c r="A9" i="2"/>
  <c r="A10" i="2" s="1"/>
  <c r="B10" i="2" s="1"/>
  <c r="E10" i="2" s="1"/>
  <c r="A5" i="2"/>
  <c r="A6" i="2" s="1"/>
  <c r="B6" i="2" s="1"/>
  <c r="E6" i="2" s="1"/>
  <c r="F6" i="2" l="1"/>
  <c r="F10" i="2"/>
  <c r="H5" i="2"/>
  <c r="E13" i="2"/>
  <c r="F13" i="2" s="1"/>
  <c r="H13" i="2"/>
  <c r="H9" i="2"/>
  <c r="G6" i="2" l="1"/>
  <c r="H6" i="2"/>
  <c r="H14" i="2"/>
  <c r="G13" i="2"/>
  <c r="G10" i="2"/>
  <c r="H10" i="2"/>
  <c r="I30" i="1" l="1"/>
  <c r="C35" i="1" s="1"/>
  <c r="C39" i="1" l="1"/>
  <c r="C45" i="1" s="1"/>
  <c r="B38" i="1"/>
  <c r="C48" i="1" l="1"/>
  <c r="C52" i="1" l="1"/>
  <c r="C50" i="1"/>
</calcChain>
</file>

<file path=xl/comments1.xml><?xml version="1.0" encoding="utf-8"?>
<comments xmlns="http://schemas.openxmlformats.org/spreadsheetml/2006/main">
  <authors>
    <author>eko</author>
    <author>Kreuchauff, Karsten</author>
    <author>51121</author>
  </authors>
  <commentList>
    <comment ref="I4" authorId="0" shapeId="0">
      <text>
        <r>
          <rPr>
            <b/>
            <sz val="8"/>
            <color indexed="8"/>
            <rFont val="Times New Roman"/>
            <family val="1"/>
          </rPr>
          <t xml:space="preserve">Hermann Dorenburg:
</t>
        </r>
        <r>
          <rPr>
            <sz val="8"/>
            <color indexed="8"/>
            <rFont val="Times New Roman"/>
            <family val="1"/>
          </rPr>
          <t>aus 40 Std./Woche</t>
        </r>
      </text>
    </comment>
    <comment ref="I5" authorId="0" shapeId="0">
      <text>
        <r>
          <rPr>
            <b/>
            <sz val="8"/>
            <color indexed="8"/>
            <rFont val="Times New Roman"/>
            <family val="1"/>
          </rPr>
          <t xml:space="preserve">Hermann Dorenburg:
</t>
        </r>
        <r>
          <rPr>
            <sz val="8"/>
            <color indexed="8"/>
            <rFont val="Times New Roman"/>
            <family val="1"/>
          </rPr>
          <t>Std.Satz 300/4,33/40
Freigestellte Pauschale</t>
        </r>
      </text>
    </comment>
    <comment ref="D36" authorId="1" shapeId="0">
      <text>
        <r>
          <rPr>
            <b/>
            <sz val="9"/>
            <color indexed="81"/>
            <rFont val="Arial"/>
            <family val="2"/>
          </rPr>
          <t>Kreuchauff, Karsten:</t>
        </r>
        <r>
          <rPr>
            <sz val="9"/>
            <color indexed="81"/>
            <rFont val="Arial"/>
            <family val="2"/>
          </rPr>
          <t xml:space="preserve">
Bezugsgröße 2021
3290,00 EUR
=&gt; 3290/2 * 18,6%  =&gt;305,97 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7" authorId="1" shapeId="0">
      <text>
        <r>
          <rPr>
            <b/>
            <sz val="9"/>
            <color indexed="81"/>
            <rFont val="Tahoma"/>
            <family val="2"/>
          </rPr>
          <t>Kreuchauff, Karsten:</t>
        </r>
        <r>
          <rPr>
            <sz val="9"/>
            <color indexed="81"/>
            <rFont val="Tahoma"/>
            <family val="2"/>
          </rPr>
          <t xml:space="preserve">
Bezugsgröße 2019 =&gt;3115,00 EUR
Mindestbemessungsgrundlage SV =&gt; 3115/90 * 30  =&gt;1038,33 EUR</t>
        </r>
      </text>
    </comment>
    <comment ref="D38" authorId="1" shapeId="0">
      <text>
        <r>
          <rPr>
            <b/>
            <sz val="9"/>
            <color indexed="81"/>
            <rFont val="Tahoma"/>
            <family val="2"/>
          </rPr>
          <t>Kreuchauff, Karsten:</t>
        </r>
        <r>
          <rPr>
            <sz val="9"/>
            <color indexed="81"/>
            <rFont val="Tahoma"/>
            <family val="2"/>
          </rPr>
          <t xml:space="preserve">
Bezugsgröße 2019 =&gt;3115,00 EUR
Mindestbemessungsgrundlage SV =&gt; 3115/90 * 30  =&gt;1038,33 EUR</t>
        </r>
      </text>
    </comment>
    <comment ref="B49" authorId="2" shapeId="0">
      <text>
        <r>
          <rPr>
            <b/>
            <sz val="10"/>
            <color indexed="81"/>
            <rFont val="Tahoma"/>
            <family val="2"/>
          </rPr>
          <t>51121:</t>
        </r>
        <r>
          <rPr>
            <sz val="10"/>
            <color indexed="81"/>
            <rFont val="Tahoma"/>
            <family val="2"/>
          </rPr>
          <t xml:space="preserve">
enthaltener Sachaufwand </t>
        </r>
      </text>
    </comment>
  </commentList>
</comments>
</file>

<file path=xl/comments2.xml><?xml version="1.0" encoding="utf-8"?>
<comments xmlns="http://schemas.openxmlformats.org/spreadsheetml/2006/main">
  <authors>
    <author>Kreuchauff, Karsten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Kreuchauff, Karsten:</t>
        </r>
        <r>
          <rPr>
            <sz val="9"/>
            <color indexed="81"/>
            <rFont val="Tahoma"/>
            <family val="2"/>
          </rPr>
          <t xml:space="preserve">
=&gt; Y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Kreuchauff, Karsten:</t>
        </r>
        <r>
          <rPr>
            <sz val="9"/>
            <color indexed="81"/>
            <rFont val="Tahoma"/>
            <family val="2"/>
          </rPr>
          <t xml:space="preserve">
=&gt; Z
</t>
        </r>
      </text>
    </comment>
  </commentList>
</comments>
</file>

<file path=xl/sharedStrings.xml><?xml version="1.0" encoding="utf-8"?>
<sst xmlns="http://schemas.openxmlformats.org/spreadsheetml/2006/main" count="84" uniqueCount="76">
  <si>
    <t>Pflegesatz</t>
  </si>
  <si>
    <t>Landesförderung</t>
  </si>
  <si>
    <t>Betriebskostenpauschale</t>
  </si>
  <si>
    <t>Kind</t>
  </si>
  <si>
    <t>BKP</t>
  </si>
  <si>
    <t>%ual  von 40 Std</t>
  </si>
  <si>
    <t>BKP errechnet</t>
  </si>
  <si>
    <t xml:space="preserve"> </t>
  </si>
  <si>
    <t>monatl. Zahlung JA</t>
  </si>
  <si>
    <t>Umsatz</t>
  </si>
  <si>
    <t>p.a.</t>
  </si>
  <si>
    <t>zu versteuernder Gewinn</t>
  </si>
  <si>
    <t>Steuern v. Gewinn</t>
  </si>
  <si>
    <t>gesetzliche Rentenvers.</t>
  </si>
  <si>
    <t>Krankenvers.</t>
  </si>
  <si>
    <t>Pflegevers.</t>
  </si>
  <si>
    <t>Steuern</t>
  </si>
  <si>
    <t>RV</t>
  </si>
  <si>
    <t>KV</t>
  </si>
  <si>
    <t>Anteil RV (1/2 der tatsächlichen Kosten) Steuerfrei</t>
  </si>
  <si>
    <r>
      <t>Ø</t>
    </r>
    <r>
      <rPr>
        <b/>
        <sz val="18"/>
        <rFont val="Arial"/>
        <family val="2"/>
      </rPr>
      <t xml:space="preserve">Hälftige Erstattung </t>
    </r>
    <r>
      <rPr>
        <sz val="18"/>
        <rFont val="Arial"/>
        <family val="2"/>
      </rPr>
      <t>der Aufwendungen der Tagespflegeperson zu</t>
    </r>
    <r>
      <rPr>
        <b/>
        <sz val="18"/>
        <rFont val="Arial"/>
        <family val="2"/>
      </rPr>
      <t xml:space="preserve"> Krankenversicherung </t>
    </r>
    <r>
      <rPr>
        <sz val="18"/>
        <rFont val="Arial"/>
        <family val="2"/>
      </rPr>
      <t>und</t>
    </r>
    <r>
      <rPr>
        <b/>
        <sz val="18"/>
        <rFont val="Arial"/>
        <family val="2"/>
      </rPr>
      <t xml:space="preserve"> Pflegeversicherung </t>
    </r>
    <r>
      <rPr>
        <sz val="18"/>
        <rFont val="Arial"/>
        <family val="2"/>
      </rPr>
      <t>durch Jugendamt</t>
    </r>
    <r>
      <rPr>
        <b/>
        <sz val="18"/>
        <rFont val="Arial"/>
        <family val="2"/>
      </rPr>
      <t xml:space="preserve">, </t>
    </r>
    <r>
      <rPr>
        <sz val="18"/>
        <rFont val="Arial"/>
        <family val="2"/>
      </rPr>
      <t xml:space="preserve">§ 23 Abs. 2 Nr. 4 SGB VIII (Art. 1 Ziffer 5 KiföG) </t>
    </r>
  </si>
  <si>
    <t>Anteil KV (1/2 der tatsächlichen Kosten) Steuerfrei</t>
  </si>
  <si>
    <t>Anteil PV (1/2 der tatsächlichen Kosten) Steuerfrei</t>
  </si>
  <si>
    <t>BGW Unfallvers. Steuerfrei</t>
  </si>
  <si>
    <r>
      <t xml:space="preserve">Ø </t>
    </r>
    <r>
      <rPr>
        <b/>
        <sz val="18"/>
        <rFont val="Arial"/>
        <family val="2"/>
      </rPr>
      <t>Erstattungen</t>
    </r>
    <r>
      <rPr>
        <sz val="18"/>
        <rFont val="Arial"/>
        <family val="2"/>
      </rPr>
      <t xml:space="preserve"> der Aufwendungen durch die örtlichen Träger der öffentlichen Jugendhilfe nach § 23 Abs. 2 Nr. 3, 4 SGB VIII (Unfallversicherung, Alterssicherung, Krankenversicherung, Pflegeversicherung) </t>
    </r>
    <r>
      <rPr>
        <b/>
        <sz val="18"/>
        <rFont val="Arial"/>
        <family val="2"/>
      </rPr>
      <t>sind</t>
    </r>
    <r>
      <rPr>
        <sz val="18"/>
        <rFont val="Arial"/>
        <family val="2"/>
      </rPr>
      <t xml:space="preserve"> E</t>
    </r>
    <r>
      <rPr>
        <b/>
        <sz val="18"/>
        <rFont val="Arial"/>
        <family val="2"/>
      </rPr>
      <t>inkommensteuer frei</t>
    </r>
    <r>
      <rPr>
        <sz val="18"/>
        <rFont val="Arial"/>
        <family val="2"/>
      </rPr>
      <t xml:space="preserve">, §§ 3 Nr. 9, 10 Abs. 4 Satz 2 EStG (Art. 3b KiföG) </t>
    </r>
  </si>
  <si>
    <t>Steuerbelastung Grundtarif</t>
  </si>
  <si>
    <t>Alleinstehende</t>
  </si>
  <si>
    <t>pr. Monat</t>
  </si>
  <si>
    <t>Verheiratete</t>
  </si>
  <si>
    <t>Steuergrenzen</t>
  </si>
  <si>
    <t>Jahressteuerbetrag</t>
  </si>
  <si>
    <t>Krankenversicherung</t>
  </si>
  <si>
    <t>Kv</t>
  </si>
  <si>
    <t>Pflegeversicherung</t>
  </si>
  <si>
    <t>Monat:</t>
  </si>
  <si>
    <t>Sachleistung</t>
  </si>
  <si>
    <t xml:space="preserve">Umsatz </t>
  </si>
  <si>
    <t>ca. (18,9 % vom Gewinn)</t>
  </si>
  <si>
    <t>ca.2,05%</t>
  </si>
  <si>
    <t>BGW Unfallversicherung Eigenanteil</t>
  </si>
  <si>
    <t>Zur Verfügung stehende Einnahmen inkl. Sachaufwand</t>
  </si>
  <si>
    <t>Zwischensumme</t>
  </si>
  <si>
    <t>Sonderauszahlung Randzeiten</t>
  </si>
  <si>
    <t>Steuersatz linear 14-24% bzw. 24-42%</t>
  </si>
  <si>
    <t>Stunden/    Woche</t>
  </si>
  <si>
    <t>maxial enthaltene Landesförderung</t>
  </si>
  <si>
    <t xml:space="preserve">enthaltene   Sachleistung   40% </t>
  </si>
  <si>
    <t>Kind aus anderen Kommunen</t>
  </si>
  <si>
    <t>Kostenbeitrag Eltern</t>
  </si>
  <si>
    <t>Kind aus Offenbach</t>
  </si>
  <si>
    <t>Seite 1: Monatsübersicht zur Vorlage bei Finanzämtern und Sozialversicherungskassen sowie zur eigenen Verwendung</t>
  </si>
  <si>
    <t>Seite 2: Monatsübersicht der Gewinnermittlung zur eigenen Verwendung und EKO</t>
  </si>
  <si>
    <t>WENN(C17&lt;15,01;226;WENN(UND(C17&gt;=15,01;C17&lt;25,01);261;WENN(UND(C17&gt;=25,01;C17&lt;35,01);342;WENN(UND(C17&lt;45,01);472;653))))</t>
  </si>
  <si>
    <t>Landesförderung/ Besonderheiten</t>
  </si>
  <si>
    <t>Kreis OF                                                          Landesförderung enthalten</t>
  </si>
  <si>
    <t>Frankfurt Grundkurs       Landesförderung enthalten</t>
  </si>
  <si>
    <t>Bad Homburg                                  ohne Landesförderung</t>
  </si>
  <si>
    <t>Bad Homburg                                   Landesförderung enthalten</t>
  </si>
  <si>
    <t xml:space="preserve">(Z17) 2,3-2,5 = Frankfurt Basis     / (Z18) 3,3-3,5  = Frankfurt Zertifikat </t>
  </si>
  <si>
    <t>(Z19) 4,1 = Hanau (4,2 ohne LaFö) / 5,1= Bad Homburg (5,2 ohne LaFö)</t>
  </si>
  <si>
    <t>Frankfurt Zertifikat       Landesförderung enthalten</t>
  </si>
  <si>
    <t>MusterTP                       Musterstraße                    Musterort</t>
  </si>
  <si>
    <t xml:space="preserve">Zahlung durch JA  </t>
  </si>
  <si>
    <t xml:space="preserve">enthaltene   Sachleistung </t>
  </si>
  <si>
    <t xml:space="preserve">eSK = Ausstattungs- und Versorgungsaufwand der Kinder </t>
  </si>
  <si>
    <t xml:space="preserve"> "Gelbe Zellen" können ausgefüllt werden</t>
  </si>
  <si>
    <t xml:space="preserve">Kind aus anderen Kommunen: (Z16) 1= Kreis Of  / 2 = Kreis Of+BEP  </t>
  </si>
  <si>
    <t>(max.) enthalten Landesfördermittel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</si>
  <si>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Zuschlag von 0,50 € pro Stunde zu folgenden Betreuungszeiten:  
Montags bis freitags: Frühdienst von 05:00 Uhr bis 07:00 Uhr, Spätdienst von 17:00 Uhr bis 23:00 Uhr 
sowie Samstags, sonntags und an Feiertagen von 5:00 Uhr bis 23:00 Uhr .
</t>
  </si>
  <si>
    <t>BKP = Ausstattungs- und Versorgungsaufwand der Kinder (Steuerfrei)</t>
  </si>
  <si>
    <t>Vgl-Summe Gewinn nach Steuer laut  BKP</t>
  </si>
  <si>
    <t>RV                           (1/2 Regel. 305,97 €)</t>
  </si>
  <si>
    <r>
      <t xml:space="preserve">Hanau </t>
    </r>
    <r>
      <rPr>
        <sz val="8"/>
        <color theme="0"/>
        <rFont val="Arial"/>
        <family val="2"/>
      </rPr>
      <t>(inkl. Essen)                             Landesförderung enthalten</t>
    </r>
  </si>
  <si>
    <r>
      <t xml:space="preserve">Hanau </t>
    </r>
    <r>
      <rPr>
        <sz val="8"/>
        <color theme="0"/>
        <rFont val="Arial"/>
        <family val="2"/>
      </rPr>
      <t xml:space="preserve">(inkl. Essen)                           ohne  Landesförderung </t>
    </r>
  </si>
  <si>
    <t>vsl. Nettoverdienst / vsl. Gewinn nach Steuer</t>
  </si>
  <si>
    <t>Berechnung ab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</si>
</sst>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€&quot;"/>
    <numFmt numFmtId="165" formatCode="#,##0.00\ &quot;€&quot;"/>
    <numFmt numFmtId="166" formatCode="[$-407]mmm/\ yy;@"/>
    <numFmt numFmtId="167" formatCode="#,##0\ &quot;€&quot;"/>
  </numFmts>
  <fonts count="35" x14ac:knownFonts="1"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8"/>
      <name val="Wingdings"/>
      <charset val="2"/>
    </font>
    <font>
      <sz val="22"/>
      <name val="Arial"/>
      <family val="2"/>
    </font>
    <font>
      <b/>
      <sz val="22"/>
      <name val="Arial"/>
      <family val="2"/>
    </font>
    <font>
      <b/>
      <sz val="22"/>
      <color indexed="9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0"/>
      <color indexed="81"/>
      <name val="Tahoma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6"/>
      <color indexed="9"/>
      <name val="Arial"/>
      <family val="2"/>
    </font>
    <font>
      <sz val="14"/>
      <color theme="0"/>
      <name val="Arial"/>
      <family val="2"/>
    </font>
    <font>
      <sz val="11"/>
      <color indexed="8"/>
      <name val="Arial"/>
      <family val="2"/>
    </font>
    <font>
      <sz val="16"/>
      <color theme="0"/>
      <name val="Arial"/>
      <family val="2"/>
    </font>
    <font>
      <b/>
      <sz val="22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29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9"/>
      </patternFill>
    </fill>
    <fill>
      <patternFill patternType="solid">
        <fgColor theme="0" tint="-4.9989318521683403E-2"/>
        <bgColor indexed="49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9" fillId="0" borderId="0" xfId="0" applyFont="1"/>
    <xf numFmtId="0" fontId="10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0" xfId="0" applyFont="1" applyFill="1" applyBorder="1"/>
    <xf numFmtId="0" fontId="9" fillId="0" borderId="7" xfId="0" applyFont="1" applyFill="1" applyBorder="1"/>
    <xf numFmtId="0" fontId="9" fillId="0" borderId="2" xfId="0" applyFont="1" applyFill="1" applyBorder="1"/>
    <xf numFmtId="0" fontId="9" fillId="0" borderId="0" xfId="0" applyFont="1" applyFill="1" applyBorder="1" applyAlignment="1">
      <alignment horizontal="center"/>
    </xf>
    <xf numFmtId="0" fontId="9" fillId="4" borderId="2" xfId="0" applyFont="1" applyFill="1" applyBorder="1"/>
    <xf numFmtId="0" fontId="9" fillId="0" borderId="2" xfId="0" applyFont="1" applyBorder="1"/>
    <xf numFmtId="0" fontId="11" fillId="5" borderId="2" xfId="0" applyFont="1" applyFill="1" applyBorder="1" applyAlignment="1">
      <alignment horizontal="right"/>
    </xf>
    <xf numFmtId="0" fontId="9" fillId="0" borderId="0" xfId="0" applyFont="1" applyBorder="1"/>
    <xf numFmtId="0" fontId="10" fillId="2" borderId="2" xfId="0" applyFont="1" applyFill="1" applyBorder="1"/>
    <xf numFmtId="0" fontId="11" fillId="5" borderId="2" xfId="0" applyFont="1" applyFill="1" applyBorder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4" borderId="6" xfId="0" applyFont="1" applyFill="1" applyBorder="1"/>
    <xf numFmtId="0" fontId="9" fillId="4" borderId="0" xfId="0" applyFont="1" applyFill="1" applyBorder="1"/>
    <xf numFmtId="0" fontId="9" fillId="2" borderId="6" xfId="0" applyFont="1" applyFill="1" applyBorder="1"/>
    <xf numFmtId="0" fontId="9" fillId="2" borderId="0" xfId="0" applyFont="1" applyFill="1" applyBorder="1"/>
    <xf numFmtId="0" fontId="11" fillId="5" borderId="8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right"/>
    </xf>
    <xf numFmtId="0" fontId="9" fillId="0" borderId="9" xfId="0" applyFont="1" applyBorder="1"/>
    <xf numFmtId="0" fontId="9" fillId="0" borderId="10" xfId="0" applyFont="1" applyBorder="1"/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/>
    <xf numFmtId="0" fontId="11" fillId="0" borderId="0" xfId="0" applyFont="1" applyFill="1" applyBorder="1"/>
    <xf numFmtId="2" fontId="9" fillId="0" borderId="2" xfId="0" applyNumberFormat="1" applyFont="1" applyFill="1" applyBorder="1"/>
    <xf numFmtId="0" fontId="1" fillId="6" borderId="2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/>
    <xf numFmtId="0" fontId="17" fillId="5" borderId="2" xfId="0" applyFont="1" applyFill="1" applyBorder="1" applyAlignment="1">
      <alignment horizontal="right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16" fillId="7" borderId="2" xfId="0" applyFont="1" applyFill="1" applyBorder="1" applyAlignment="1" applyProtection="1">
      <alignment horizontal="center" vertical="center" wrapText="1"/>
      <protection hidden="1"/>
    </xf>
    <xf numFmtId="0" fontId="16" fillId="7" borderId="5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Protection="1">
      <protection hidden="1"/>
    </xf>
    <xf numFmtId="0" fontId="16" fillId="4" borderId="15" xfId="0" applyFont="1" applyFill="1" applyBorder="1" applyAlignment="1" applyProtection="1">
      <alignment horizontal="center" vertical="center"/>
      <protection hidden="1"/>
    </xf>
    <xf numFmtId="0" fontId="1" fillId="6" borderId="5" xfId="0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165" fontId="14" fillId="6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" fillId="10" borderId="0" xfId="0" applyFont="1" applyFill="1" applyBorder="1" applyAlignment="1" applyProtection="1">
      <alignment horizontal="center"/>
      <protection hidden="1"/>
    </xf>
    <xf numFmtId="0" fontId="1" fillId="10" borderId="0" xfId="0" applyFont="1" applyFill="1" applyBorder="1" applyProtection="1">
      <protection hidden="1"/>
    </xf>
    <xf numFmtId="0" fontId="3" fillId="10" borderId="0" xfId="0" applyFont="1" applyFill="1" applyBorder="1" applyAlignment="1" applyProtection="1">
      <alignment horizontal="center"/>
      <protection hidden="1"/>
    </xf>
    <xf numFmtId="10" fontId="1" fillId="10" borderId="0" xfId="0" applyNumberFormat="1" applyFont="1" applyFill="1" applyBorder="1" applyProtection="1">
      <protection hidden="1"/>
    </xf>
    <xf numFmtId="2" fontId="6" fillId="0" borderId="0" xfId="0" applyNumberFormat="1" applyFont="1" applyBorder="1" applyProtection="1"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7" fontId="14" fillId="0" borderId="12" xfId="0" applyNumberFormat="1" applyFont="1" applyBorder="1" applyAlignment="1" applyProtection="1">
      <alignment horizontal="center"/>
      <protection hidden="1"/>
    </xf>
    <xf numFmtId="164" fontId="1" fillId="0" borderId="2" xfId="0" applyNumberFormat="1" applyFont="1" applyBorder="1" applyAlignment="1" applyProtection="1">
      <alignment horizontal="center"/>
      <protection hidden="1"/>
    </xf>
    <xf numFmtId="164" fontId="14" fillId="0" borderId="2" xfId="0" applyNumberFormat="1" applyFont="1" applyBorder="1" applyAlignment="1" applyProtection="1">
      <alignment horizontal="center"/>
      <protection hidden="1"/>
    </xf>
    <xf numFmtId="2" fontId="1" fillId="0" borderId="4" xfId="0" applyNumberFormat="1" applyFont="1" applyBorder="1" applyAlignment="1" applyProtection="1">
      <alignment horizontal="center"/>
      <protection hidden="1"/>
    </xf>
    <xf numFmtId="10" fontId="1" fillId="0" borderId="2" xfId="0" applyNumberFormat="1" applyFont="1" applyBorder="1" applyProtection="1">
      <protection hidden="1"/>
    </xf>
    <xf numFmtId="164" fontId="6" fillId="0" borderId="0" xfId="0" applyNumberFormat="1" applyFont="1" applyBorder="1" applyProtection="1">
      <protection hidden="1"/>
    </xf>
    <xf numFmtId="0" fontId="1" fillId="0" borderId="26" xfId="0" applyFont="1" applyBorder="1" applyAlignment="1" applyProtection="1">
      <alignment horizontal="center"/>
      <protection hidden="1"/>
    </xf>
    <xf numFmtId="167" fontId="14" fillId="0" borderId="27" xfId="0" applyNumberFormat="1" applyFont="1" applyBorder="1" applyAlignment="1" applyProtection="1">
      <alignment horizontal="center"/>
      <protection hidden="1"/>
    </xf>
    <xf numFmtId="164" fontId="14" fillId="0" borderId="5" xfId="0" applyNumberFormat="1" applyFont="1" applyBorder="1" applyAlignment="1" applyProtection="1">
      <alignment horizontal="center"/>
      <protection hidden="1"/>
    </xf>
    <xf numFmtId="2" fontId="1" fillId="0" borderId="11" xfId="0" applyNumberFormat="1" applyFont="1" applyBorder="1" applyAlignment="1" applyProtection="1">
      <alignment horizontal="center"/>
      <protection hidden="1"/>
    </xf>
    <xf numFmtId="10" fontId="1" fillId="0" borderId="5" xfId="0" applyNumberFormat="1" applyFont="1" applyBorder="1" applyProtection="1">
      <protection hidden="1"/>
    </xf>
    <xf numFmtId="0" fontId="19" fillId="10" borderId="28" xfId="0" applyFont="1" applyFill="1" applyBorder="1" applyAlignment="1" applyProtection="1">
      <alignment horizontal="left"/>
      <protection hidden="1"/>
    </xf>
    <xf numFmtId="167" fontId="19" fillId="10" borderId="29" xfId="0" applyNumberFormat="1" applyFont="1" applyFill="1" applyBorder="1" applyAlignment="1" applyProtection="1">
      <alignment horizontal="center"/>
      <protection hidden="1"/>
    </xf>
    <xf numFmtId="0" fontId="19" fillId="10" borderId="29" xfId="0" applyFont="1" applyFill="1" applyBorder="1" applyAlignment="1" applyProtection="1">
      <alignment horizontal="center"/>
      <protection hidden="1"/>
    </xf>
    <xf numFmtId="164" fontId="19" fillId="10" borderId="29" xfId="0" applyNumberFormat="1" applyFont="1" applyFill="1" applyBorder="1" applyAlignment="1" applyProtection="1">
      <alignment horizontal="center"/>
      <protection hidden="1"/>
    </xf>
    <xf numFmtId="10" fontId="19" fillId="10" borderId="16" xfId="0" applyNumberFormat="1" applyFont="1" applyFill="1" applyBorder="1" applyProtection="1">
      <protection hidden="1"/>
    </xf>
    <xf numFmtId="164" fontId="25" fillId="0" borderId="0" xfId="0" applyNumberFormat="1" applyFont="1" applyBorder="1" applyProtection="1">
      <protection hidden="1"/>
    </xf>
    <xf numFmtId="0" fontId="19" fillId="0" borderId="0" xfId="0" applyFont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2" fontId="1" fillId="0" borderId="8" xfId="0" applyNumberFormat="1" applyFont="1" applyBorder="1" applyAlignment="1" applyProtection="1">
      <alignment horizontal="center"/>
      <protection hidden="1"/>
    </xf>
    <xf numFmtId="10" fontId="1" fillId="0" borderId="14" xfId="0" applyNumberFormat="1" applyFont="1" applyBorder="1" applyProtection="1">
      <protection hidden="1"/>
    </xf>
    <xf numFmtId="167" fontId="14" fillId="0" borderId="10" xfId="0" applyNumberFormat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164" fontId="2" fillId="0" borderId="4" xfId="0" applyNumberFormat="1" applyFont="1" applyBorder="1" applyAlignment="1" applyProtection="1">
      <alignment horizontal="center"/>
      <protection hidden="1"/>
    </xf>
    <xf numFmtId="164" fontId="14" fillId="0" borderId="4" xfId="0" applyNumberFormat="1" applyFont="1" applyBorder="1" applyAlignment="1" applyProtection="1">
      <alignment horizontal="center"/>
      <protection hidden="1"/>
    </xf>
    <xf numFmtId="164" fontId="2" fillId="0" borderId="15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1" fillId="0" borderId="2" xfId="0" applyNumberFormat="1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1" fillId="0" borderId="4" xfId="0" applyNumberFormat="1" applyFont="1" applyBorder="1" applyProtection="1">
      <protection hidden="1"/>
    </xf>
    <xf numFmtId="0" fontId="19" fillId="0" borderId="15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24" fillId="0" borderId="0" xfId="0" applyFont="1" applyProtection="1">
      <protection hidden="1"/>
    </xf>
    <xf numFmtId="0" fontId="22" fillId="0" borderId="0" xfId="0" applyFont="1" applyFill="1" applyBorder="1" applyProtection="1">
      <protection hidden="1"/>
    </xf>
    <xf numFmtId="164" fontId="2" fillId="0" borderId="4" xfId="0" applyNumberFormat="1" applyFont="1" applyFill="1" applyBorder="1" applyProtection="1"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Protection="1">
      <protection hidden="1"/>
    </xf>
    <xf numFmtId="0" fontId="19" fillId="0" borderId="2" xfId="0" applyFon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164" fontId="2" fillId="0" borderId="2" xfId="0" applyNumberFormat="1" applyFont="1" applyFill="1" applyBorder="1" applyProtection="1">
      <protection hidden="1"/>
    </xf>
    <xf numFmtId="0" fontId="24" fillId="0" borderId="0" xfId="0" applyFont="1" applyBorder="1" applyAlignment="1" applyProtection="1">
      <alignment horizontal="center"/>
      <protection hidden="1"/>
    </xf>
    <xf numFmtId="164" fontId="26" fillId="0" borderId="0" xfId="0" applyNumberFormat="1" applyFont="1" applyBorder="1" applyProtection="1">
      <protection hidden="1"/>
    </xf>
    <xf numFmtId="164" fontId="19" fillId="0" borderId="15" xfId="0" applyNumberFormat="1" applyFont="1" applyBorder="1" applyProtection="1">
      <protection hidden="1"/>
    </xf>
    <xf numFmtId="164" fontId="2" fillId="2" borderId="15" xfId="0" applyNumberFormat="1" applyFont="1" applyFill="1" applyBorder="1" applyProtection="1">
      <protection hidden="1"/>
    </xf>
    <xf numFmtId="0" fontId="1" fillId="10" borderId="1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vertical="center"/>
      <protection hidden="1"/>
    </xf>
    <xf numFmtId="166" fontId="16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wrapText="1"/>
      <protection hidden="1"/>
    </xf>
    <xf numFmtId="0" fontId="21" fillId="10" borderId="29" xfId="0" applyFont="1" applyFill="1" applyBorder="1" applyAlignment="1" applyProtection="1">
      <alignment horizontal="center" vertical="center" wrapText="1"/>
      <protection hidden="1"/>
    </xf>
    <xf numFmtId="165" fontId="14" fillId="6" borderId="14" xfId="0" applyNumberFormat="1" applyFont="1" applyFill="1" applyBorder="1" applyAlignment="1" applyProtection="1">
      <alignment horizontal="center" wrapText="1"/>
      <protection locked="0"/>
    </xf>
    <xf numFmtId="0" fontId="14" fillId="10" borderId="0" xfId="0" applyFont="1" applyFill="1" applyBorder="1" applyAlignment="1" applyProtection="1">
      <alignment horizontal="left"/>
      <protection hidden="1"/>
    </xf>
    <xf numFmtId="0" fontId="28" fillId="0" borderId="0" xfId="0" applyFont="1" applyProtection="1">
      <protection hidden="1"/>
    </xf>
    <xf numFmtId="2" fontId="9" fillId="0" borderId="2" xfId="0" applyNumberFormat="1" applyFont="1" applyBorder="1"/>
    <xf numFmtId="0" fontId="29" fillId="0" borderId="2" xfId="0" applyFont="1" applyFill="1" applyBorder="1"/>
    <xf numFmtId="0" fontId="11" fillId="0" borderId="2" xfId="0" applyFont="1" applyFill="1" applyBorder="1"/>
    <xf numFmtId="0" fontId="8" fillId="0" borderId="0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164" fontId="3" fillId="0" borderId="4" xfId="0" applyNumberFormat="1" applyFont="1" applyBorder="1" applyAlignment="1" applyProtection="1">
      <alignment horizontal="center"/>
      <protection hidden="1"/>
    </xf>
    <xf numFmtId="0" fontId="24" fillId="0" borderId="0" xfId="0" applyFont="1" applyBorder="1" applyProtection="1">
      <protection hidden="1"/>
    </xf>
    <xf numFmtId="10" fontId="22" fillId="0" borderId="0" xfId="0" applyNumberFormat="1" applyFont="1" applyBorder="1" applyProtection="1">
      <protection hidden="1"/>
    </xf>
    <xf numFmtId="165" fontId="21" fillId="0" borderId="36" xfId="0" applyNumberFormat="1" applyFont="1" applyFill="1" applyBorder="1" applyAlignment="1" applyProtection="1">
      <alignment horizontal="center" vertical="center" wrapText="1"/>
      <protection hidden="1"/>
    </xf>
    <xf numFmtId="166" fontId="1" fillId="6" borderId="37" xfId="0" applyNumberFormat="1" applyFont="1" applyFill="1" applyBorder="1" applyAlignment="1" applyProtection="1">
      <alignment vertical="center"/>
      <protection locked="0"/>
    </xf>
    <xf numFmtId="0" fontId="14" fillId="6" borderId="34" xfId="0" applyFont="1" applyFill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right" vertical="center"/>
      <protection hidden="1"/>
    </xf>
    <xf numFmtId="0" fontId="21" fillId="0" borderId="15" xfId="0" applyFont="1" applyBorder="1" applyAlignment="1" applyProtection="1">
      <alignment horizontal="center" wrapText="1"/>
      <protection hidden="1"/>
    </xf>
    <xf numFmtId="164" fontId="21" fillId="0" borderId="15" xfId="0" applyNumberFormat="1" applyFont="1" applyBorder="1" applyProtection="1">
      <protection hidden="1"/>
    </xf>
    <xf numFmtId="164" fontId="15" fillId="0" borderId="15" xfId="0" applyNumberFormat="1" applyFont="1" applyFill="1" applyBorder="1" applyProtection="1">
      <protection hidden="1"/>
    </xf>
    <xf numFmtId="164" fontId="24" fillId="0" borderId="0" xfId="0" applyNumberFormat="1" applyFont="1" applyProtection="1">
      <protection hidden="1"/>
    </xf>
    <xf numFmtId="0" fontId="22" fillId="0" borderId="0" xfId="0" applyFont="1" applyBorder="1" applyAlignment="1" applyProtection="1">
      <alignment horizontal="center"/>
      <protection hidden="1"/>
    </xf>
    <xf numFmtId="164" fontId="22" fillId="0" borderId="0" xfId="0" applyNumberFormat="1" applyFont="1" applyBorder="1" applyProtection="1">
      <protection hidden="1"/>
    </xf>
    <xf numFmtId="10" fontId="22" fillId="0" borderId="0" xfId="0" applyNumberFormat="1" applyFont="1" applyFill="1" applyBorder="1" applyProtection="1">
      <protection hidden="1"/>
    </xf>
    <xf numFmtId="165" fontId="21" fillId="9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" fillId="8" borderId="15" xfId="0" applyFont="1" applyFill="1" applyBorder="1" applyAlignment="1" applyProtection="1">
      <alignment horizontal="center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0" fontId="1" fillId="7" borderId="23" xfId="0" applyFont="1" applyFill="1" applyBorder="1" applyAlignment="1" applyProtection="1">
      <alignment horizontal="center" vertical="center" wrapText="1"/>
      <protection hidden="1"/>
    </xf>
    <xf numFmtId="0" fontId="1" fillId="7" borderId="12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5" fillId="0" borderId="21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21" fillId="11" borderId="9" xfId="0" applyFont="1" applyFill="1" applyBorder="1" applyAlignment="1" applyProtection="1">
      <alignment horizontal="center" vertical="center" wrapText="1"/>
      <protection hidden="1"/>
    </xf>
    <xf numFmtId="0" fontId="21" fillId="11" borderId="10" xfId="0" applyFont="1" applyFill="1" applyBorder="1" applyAlignment="1" applyProtection="1">
      <alignment horizontal="center" vertical="center" wrapText="1"/>
      <protection hidden="1"/>
    </xf>
    <xf numFmtId="164" fontId="1" fillId="9" borderId="24" xfId="0" applyNumberFormat="1" applyFont="1" applyFill="1" applyBorder="1" applyAlignment="1" applyProtection="1">
      <alignment horizontal="center" vertical="center"/>
      <protection locked="0"/>
    </xf>
    <xf numFmtId="164" fontId="1" fillId="9" borderId="25" xfId="0" applyNumberFormat="1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 hidden="1"/>
    </xf>
    <xf numFmtId="0" fontId="27" fillId="0" borderId="31" xfId="0" applyFont="1" applyFill="1" applyBorder="1" applyAlignment="1" applyProtection="1">
      <alignment horizontal="center" vertical="center" wrapText="1"/>
      <protection hidden="1"/>
    </xf>
    <xf numFmtId="0" fontId="20" fillId="0" borderId="31" xfId="0" applyFont="1" applyFill="1" applyBorder="1" applyAlignment="1" applyProtection="1">
      <alignment horizontal="center" vertical="center" wrapText="1"/>
      <protection hidden="1"/>
    </xf>
    <xf numFmtId="0" fontId="20" fillId="0" borderId="24" xfId="0" applyFont="1" applyFill="1" applyBorder="1" applyAlignment="1" applyProtection="1">
      <alignment horizontal="center" vertical="center" wrapText="1"/>
      <protection hidden="1"/>
    </xf>
    <xf numFmtId="0" fontId="20" fillId="0" borderId="32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33" xfId="0" applyFont="1" applyFill="1" applyBorder="1" applyAlignment="1" applyProtection="1">
      <alignment horizontal="center" vertical="center" wrapText="1"/>
      <protection hidden="1"/>
    </xf>
    <xf numFmtId="0" fontId="15" fillId="12" borderId="23" xfId="0" applyFont="1" applyFill="1" applyBorder="1" applyAlignment="1" applyProtection="1">
      <alignment horizontal="center" vertical="center"/>
      <protection hidden="1"/>
    </xf>
    <xf numFmtId="0" fontId="15" fillId="12" borderId="12" xfId="0" applyFont="1" applyFill="1" applyBorder="1" applyAlignment="1" applyProtection="1">
      <alignment horizontal="center" vertical="center"/>
      <protection hidden="1"/>
    </xf>
    <xf numFmtId="0" fontId="1" fillId="7" borderId="9" xfId="0" applyFont="1" applyFill="1" applyBorder="1" applyAlignment="1" applyProtection="1">
      <alignment horizontal="center" vertical="center" wrapText="1"/>
      <protection hidden="1"/>
    </xf>
    <xf numFmtId="0" fontId="1" fillId="7" borderId="1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Protection="1">
      <protection hidden="1"/>
    </xf>
    <xf numFmtId="10" fontId="1" fillId="0" borderId="0" xfId="0" applyNumberFormat="1" applyFont="1" applyBorder="1" applyProtection="1">
      <protection hidden="1"/>
    </xf>
    <xf numFmtId="0" fontId="0" fillId="0" borderId="0" xfId="0" applyFont="1" applyFill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2"/>
  <sheetViews>
    <sheetView tabSelected="1" zoomScale="75" zoomScaleNormal="75" workbookViewId="0">
      <selection activeCell="C16" sqref="C16"/>
    </sheetView>
  </sheetViews>
  <sheetFormatPr baseColWidth="10" defaultRowHeight="12.75" x14ac:dyDescent="0.2"/>
  <cols>
    <col min="1" max="1" width="9.85546875" style="81" customWidth="1"/>
    <col min="2" max="2" width="16" style="81" customWidth="1"/>
    <col min="3" max="3" width="23.28515625" style="42" customWidth="1"/>
    <col min="4" max="4" width="30.85546875" style="42" customWidth="1"/>
    <col min="5" max="6" width="22.140625" style="42" customWidth="1"/>
    <col min="7" max="7" width="34.7109375" style="42" customWidth="1"/>
    <col min="8" max="8" width="36.42578125" style="42" customWidth="1"/>
    <col min="9" max="9" width="17.7109375" style="42" customWidth="1"/>
    <col min="10" max="10" width="24.28515625" style="41" hidden="1" customWidth="1"/>
    <col min="11" max="11" width="11.42578125" style="42"/>
    <col min="12" max="12" width="18.42578125" style="42" customWidth="1"/>
    <col min="13" max="16384" width="11.42578125" style="42"/>
  </cols>
  <sheetData>
    <row r="1" spans="1:29" s="103" customFormat="1" ht="30" customHeight="1" thickBot="1" x14ac:dyDescent="0.25">
      <c r="A1" s="132" t="s">
        <v>50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29" ht="53.25" customHeight="1" thickBot="1" x14ac:dyDescent="0.25">
      <c r="A2" s="133" t="s">
        <v>75</v>
      </c>
      <c r="B2" s="134"/>
      <c r="C2" s="134"/>
      <c r="D2" s="129">
        <v>5</v>
      </c>
      <c r="E2" s="118" t="s">
        <v>65</v>
      </c>
      <c r="F2" s="129">
        <v>1.45</v>
      </c>
      <c r="G2" s="120" t="s">
        <v>61</v>
      </c>
      <c r="H2" s="121" t="s">
        <v>34</v>
      </c>
      <c r="I2" s="119">
        <v>44562</v>
      </c>
    </row>
    <row r="3" spans="1:29" ht="30" customHeight="1" x14ac:dyDescent="0.35">
      <c r="A3" s="102" t="s">
        <v>49</v>
      </c>
      <c r="B3" s="43"/>
      <c r="C3" s="44"/>
      <c r="D3" s="43" t="s">
        <v>0</v>
      </c>
      <c r="E3" s="43" t="s">
        <v>35</v>
      </c>
      <c r="F3" s="43"/>
      <c r="G3" s="43" t="s">
        <v>1</v>
      </c>
      <c r="H3" s="45" t="s">
        <v>2</v>
      </c>
      <c r="I3" s="46"/>
      <c r="J3" s="47"/>
    </row>
    <row r="4" spans="1:29" s="51" customFormat="1" ht="35.1" customHeight="1" x14ac:dyDescent="0.2">
      <c r="A4" s="48" t="s">
        <v>3</v>
      </c>
      <c r="B4" s="49" t="s">
        <v>48</v>
      </c>
      <c r="C4" s="48" t="s">
        <v>44</v>
      </c>
      <c r="D4" s="48" t="s">
        <v>62</v>
      </c>
      <c r="E4" s="49" t="s">
        <v>46</v>
      </c>
      <c r="F4" s="114" t="s">
        <v>63</v>
      </c>
      <c r="G4" s="49" t="s">
        <v>45</v>
      </c>
      <c r="H4" s="48" t="s">
        <v>4</v>
      </c>
      <c r="I4" s="48" t="s">
        <v>5</v>
      </c>
      <c r="J4" s="50" t="s">
        <v>6</v>
      </c>
    </row>
    <row r="5" spans="1:29" ht="35.1" customHeight="1" x14ac:dyDescent="0.35">
      <c r="A5" s="52">
        <v>1</v>
      </c>
      <c r="B5" s="53">
        <f t="shared" ref="B5:B14" si="0">C5*4.33</f>
        <v>0</v>
      </c>
      <c r="C5" s="30">
        <v>0</v>
      </c>
      <c r="D5" s="54">
        <f>C5*$D$2*4.33</f>
        <v>0</v>
      </c>
      <c r="E5" s="55">
        <f>IF(F5&gt;0,0,D5*40%)</f>
        <v>0</v>
      </c>
      <c r="F5" s="55">
        <f>C5*$F$2*4.33</f>
        <v>0</v>
      </c>
      <c r="G5" s="55">
        <f>IF(C5&lt;15,0,IF(AND(C5&gt;=15,C5&lt;25.01),150,IF(AND(C5&gt;=25.01,C5&lt;35.01),216.67,IF(AND(C5&gt;=35.01,C5&lt;45.01),275,308.33))))</f>
        <v>0</v>
      </c>
      <c r="H5" s="56">
        <f t="shared" ref="H5:H19" si="1">IF(J5&lt;300,J5,300)</f>
        <v>0</v>
      </c>
      <c r="I5" s="57">
        <f t="shared" ref="I5:I19" si="2">C5/40</f>
        <v>0</v>
      </c>
      <c r="J5" s="58">
        <f t="shared" ref="J5:J21" si="3">I5*300</f>
        <v>0</v>
      </c>
    </row>
    <row r="6" spans="1:29" ht="35.1" customHeight="1" x14ac:dyDescent="0.35">
      <c r="A6" s="52">
        <v>2</v>
      </c>
      <c r="B6" s="53">
        <f t="shared" si="0"/>
        <v>0</v>
      </c>
      <c r="C6" s="30">
        <v>0</v>
      </c>
      <c r="D6" s="54">
        <f t="shared" ref="D6:D14" si="4">C6*$D$2*4.33</f>
        <v>0</v>
      </c>
      <c r="E6" s="55">
        <f t="shared" ref="E6:E10" si="5">IF(F6&gt;0,0,D6*40%)</f>
        <v>0</v>
      </c>
      <c r="F6" s="55">
        <f>C6*$F$2*4.33</f>
        <v>0</v>
      </c>
      <c r="G6" s="55">
        <f t="shared" ref="G6:G14" si="6">IF(C6&lt;15,0,IF(AND(C6&gt;=15,C6&lt;25.01),150,IF(AND(C6&gt;=25.01,C6&lt;35.01),216.67,IF(AND(C6&gt;=35.01,C6&lt;45.01),275,308.33))))</f>
        <v>0</v>
      </c>
      <c r="H6" s="56">
        <f t="shared" si="1"/>
        <v>0</v>
      </c>
      <c r="I6" s="57">
        <f t="shared" si="2"/>
        <v>0</v>
      </c>
      <c r="J6" s="58">
        <f t="shared" si="3"/>
        <v>0</v>
      </c>
    </row>
    <row r="7" spans="1:29" ht="35.1" customHeight="1" x14ac:dyDescent="0.35">
      <c r="A7" s="52">
        <v>3</v>
      </c>
      <c r="B7" s="53">
        <f t="shared" si="0"/>
        <v>0</v>
      </c>
      <c r="C7" s="30">
        <v>0</v>
      </c>
      <c r="D7" s="54">
        <f t="shared" si="4"/>
        <v>0</v>
      </c>
      <c r="E7" s="55">
        <f t="shared" si="5"/>
        <v>0</v>
      </c>
      <c r="F7" s="55">
        <f t="shared" ref="F7:F14" si="7">C7*$F$2*4.33</f>
        <v>0</v>
      </c>
      <c r="G7" s="55">
        <f t="shared" si="6"/>
        <v>0</v>
      </c>
      <c r="H7" s="56">
        <f t="shared" si="1"/>
        <v>0</v>
      </c>
      <c r="I7" s="57">
        <f t="shared" si="2"/>
        <v>0</v>
      </c>
      <c r="J7" s="58">
        <f t="shared" si="3"/>
        <v>0</v>
      </c>
    </row>
    <row r="8" spans="1:29" ht="35.1" customHeight="1" x14ac:dyDescent="0.35">
      <c r="A8" s="52">
        <v>4</v>
      </c>
      <c r="B8" s="53">
        <f t="shared" si="0"/>
        <v>0</v>
      </c>
      <c r="C8" s="30">
        <v>0</v>
      </c>
      <c r="D8" s="54">
        <f t="shared" si="4"/>
        <v>0</v>
      </c>
      <c r="E8" s="55">
        <f t="shared" si="5"/>
        <v>0</v>
      </c>
      <c r="F8" s="55">
        <f t="shared" si="7"/>
        <v>0</v>
      </c>
      <c r="G8" s="55">
        <f t="shared" si="6"/>
        <v>0</v>
      </c>
      <c r="H8" s="56">
        <f t="shared" si="1"/>
        <v>0</v>
      </c>
      <c r="I8" s="57">
        <f t="shared" si="2"/>
        <v>0</v>
      </c>
      <c r="J8" s="58">
        <f t="shared" si="3"/>
        <v>0</v>
      </c>
    </row>
    <row r="9" spans="1:29" ht="35.1" customHeight="1" x14ac:dyDescent="0.35">
      <c r="A9" s="52">
        <v>5</v>
      </c>
      <c r="B9" s="53">
        <f t="shared" si="0"/>
        <v>0</v>
      </c>
      <c r="C9" s="30">
        <v>0</v>
      </c>
      <c r="D9" s="54">
        <f t="shared" si="4"/>
        <v>0</v>
      </c>
      <c r="E9" s="55">
        <f t="shared" si="5"/>
        <v>0</v>
      </c>
      <c r="F9" s="55">
        <f t="shared" si="7"/>
        <v>0</v>
      </c>
      <c r="G9" s="55">
        <f t="shared" si="6"/>
        <v>0</v>
      </c>
      <c r="H9" s="56">
        <f t="shared" si="1"/>
        <v>0</v>
      </c>
      <c r="I9" s="57">
        <f t="shared" si="2"/>
        <v>0</v>
      </c>
      <c r="J9" s="58">
        <f t="shared" si="3"/>
        <v>0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29" ht="35.1" customHeight="1" x14ac:dyDescent="0.35">
      <c r="A10" s="52">
        <v>6</v>
      </c>
      <c r="B10" s="53">
        <f t="shared" si="0"/>
        <v>0</v>
      </c>
      <c r="C10" s="30">
        <v>0</v>
      </c>
      <c r="D10" s="54">
        <f t="shared" si="4"/>
        <v>0</v>
      </c>
      <c r="E10" s="55">
        <f t="shared" si="5"/>
        <v>0</v>
      </c>
      <c r="F10" s="55">
        <f t="shared" si="7"/>
        <v>0</v>
      </c>
      <c r="G10" s="55">
        <f t="shared" si="6"/>
        <v>0</v>
      </c>
      <c r="H10" s="56">
        <f t="shared" ref="H10:H17" si="8">IF(J10&lt;300,J10,300)</f>
        <v>0</v>
      </c>
      <c r="I10" s="57">
        <f t="shared" ref="I10:I17" si="9">C10/40</f>
        <v>0</v>
      </c>
      <c r="J10" s="58">
        <f t="shared" ref="J10:J17" si="10">I10*300</f>
        <v>0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9" ht="35.1" customHeight="1" x14ac:dyDescent="0.35">
      <c r="A11" s="52">
        <v>7</v>
      </c>
      <c r="B11" s="53">
        <f t="shared" si="0"/>
        <v>0</v>
      </c>
      <c r="C11" s="30">
        <v>0</v>
      </c>
      <c r="D11" s="54">
        <f t="shared" si="4"/>
        <v>0</v>
      </c>
      <c r="E11" s="55">
        <f t="shared" ref="E11:E14" si="11">D11*40%</f>
        <v>0</v>
      </c>
      <c r="F11" s="55">
        <f t="shared" si="7"/>
        <v>0</v>
      </c>
      <c r="G11" s="55">
        <f t="shared" si="6"/>
        <v>0</v>
      </c>
      <c r="H11" s="56">
        <f t="shared" si="8"/>
        <v>0</v>
      </c>
      <c r="I11" s="57">
        <f t="shared" si="9"/>
        <v>0</v>
      </c>
      <c r="J11" s="58">
        <f t="shared" si="10"/>
        <v>0</v>
      </c>
      <c r="K11" s="85"/>
      <c r="L11" s="85" t="s">
        <v>52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</row>
    <row r="12" spans="1:29" ht="35.1" customHeight="1" x14ac:dyDescent="0.35">
      <c r="A12" s="52">
        <v>8</v>
      </c>
      <c r="B12" s="53">
        <f t="shared" si="0"/>
        <v>0</v>
      </c>
      <c r="C12" s="30">
        <v>0</v>
      </c>
      <c r="D12" s="54">
        <f t="shared" si="4"/>
        <v>0</v>
      </c>
      <c r="E12" s="55">
        <f t="shared" si="11"/>
        <v>0</v>
      </c>
      <c r="F12" s="55">
        <f t="shared" si="7"/>
        <v>0</v>
      </c>
      <c r="G12" s="55">
        <f t="shared" si="6"/>
        <v>0</v>
      </c>
      <c r="H12" s="56">
        <f t="shared" si="8"/>
        <v>0</v>
      </c>
      <c r="I12" s="57">
        <f t="shared" si="9"/>
        <v>0</v>
      </c>
      <c r="J12" s="58">
        <f t="shared" si="10"/>
        <v>0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1:29" ht="35.1" customHeight="1" x14ac:dyDescent="0.35">
      <c r="A13" s="52">
        <v>9</v>
      </c>
      <c r="B13" s="53">
        <f t="shared" ref="B13" si="12">C13*4.33</f>
        <v>0</v>
      </c>
      <c r="C13" s="30">
        <v>0</v>
      </c>
      <c r="D13" s="54">
        <f t="shared" si="4"/>
        <v>0</v>
      </c>
      <c r="E13" s="55">
        <f t="shared" si="11"/>
        <v>0</v>
      </c>
      <c r="F13" s="55">
        <f t="shared" si="7"/>
        <v>0</v>
      </c>
      <c r="G13" s="55">
        <f t="shared" si="6"/>
        <v>0</v>
      </c>
      <c r="H13" s="56">
        <f t="shared" ref="H13" si="13">IF(J13&lt;300,J13,300)</f>
        <v>0</v>
      </c>
      <c r="I13" s="57">
        <f t="shared" ref="I13" si="14">C13/40</f>
        <v>0</v>
      </c>
      <c r="J13" s="58">
        <f>I13*300</f>
        <v>0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1:29" ht="35.1" customHeight="1" x14ac:dyDescent="0.35">
      <c r="A14" s="59">
        <v>10</v>
      </c>
      <c r="B14" s="60">
        <f t="shared" si="0"/>
        <v>0</v>
      </c>
      <c r="C14" s="38">
        <v>0</v>
      </c>
      <c r="D14" s="54">
        <f t="shared" si="4"/>
        <v>0</v>
      </c>
      <c r="E14" s="55">
        <f t="shared" si="11"/>
        <v>0</v>
      </c>
      <c r="F14" s="55">
        <f t="shared" si="7"/>
        <v>0</v>
      </c>
      <c r="G14" s="61">
        <f t="shared" si="6"/>
        <v>0</v>
      </c>
      <c r="H14" s="62">
        <f t="shared" si="8"/>
        <v>0</v>
      </c>
      <c r="I14" s="63">
        <f t="shared" si="9"/>
        <v>0</v>
      </c>
      <c r="J14" s="58">
        <f t="shared" si="10"/>
        <v>0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29" s="70" customFormat="1" ht="30" customHeight="1" x14ac:dyDescent="0.3">
      <c r="A15" s="64" t="s">
        <v>47</v>
      </c>
      <c r="B15" s="65"/>
      <c r="C15" s="66"/>
      <c r="D15" s="66" t="s">
        <v>0</v>
      </c>
      <c r="E15" s="67"/>
      <c r="F15" s="67"/>
      <c r="G15" s="106" t="s">
        <v>53</v>
      </c>
      <c r="H15" s="66" t="s">
        <v>2</v>
      </c>
      <c r="I15" s="68"/>
      <c r="J15" s="6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</row>
    <row r="16" spans="1:29" ht="35.1" customHeight="1" x14ac:dyDescent="0.35">
      <c r="A16" s="71">
        <v>0</v>
      </c>
      <c r="B16" s="40">
        <f>IF(A16=1,K16,0)</f>
        <v>0</v>
      </c>
      <c r="C16" s="39">
        <v>0</v>
      </c>
      <c r="D16" s="40">
        <f>IF(A16=1,(C16*5*4.33),IF(A16=2,(C16*5.15*4.33),0))</f>
        <v>0</v>
      </c>
      <c r="E16" s="40">
        <f>IF(A16&gt;0,(C16*1.45*4.33),0)</f>
        <v>0</v>
      </c>
      <c r="F16" s="40">
        <f>IF(A16&gt;0,(C16*1.45*4.33),0)</f>
        <v>0</v>
      </c>
      <c r="G16" s="107">
        <f>IF(A16&gt;0,L16,0)</f>
        <v>0</v>
      </c>
      <c r="H16" s="72">
        <f t="shared" si="8"/>
        <v>0</v>
      </c>
      <c r="I16" s="73">
        <f t="shared" si="9"/>
        <v>0</v>
      </c>
      <c r="J16" s="58">
        <f t="shared" si="10"/>
        <v>0</v>
      </c>
      <c r="K16" s="85">
        <f>IF(C16&lt;20.01,116.8,IF(AND(C16&gt;=20.5,C16&lt;30.01),175.2,IF(AND(C16&lt;40.05),233.6,292)))</f>
        <v>116.8</v>
      </c>
      <c r="L16" s="85" t="s">
        <v>54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</row>
    <row r="17" spans="1:29" ht="35.1" customHeight="1" x14ac:dyDescent="0.35">
      <c r="A17" s="52">
        <v>0</v>
      </c>
      <c r="B17" s="40">
        <f>IF(A17&gt;=2,K17,0)</f>
        <v>0</v>
      </c>
      <c r="C17" s="30">
        <v>0</v>
      </c>
      <c r="D17" s="40">
        <f>IF(A17=2.3,M17,IF(AND(A17&gt;=2.4,A17&lt;2.5),N17,IF(AND(A17&gt;=2.5,A17&lt;2.6),O17,0)))</f>
        <v>0</v>
      </c>
      <c r="E17" s="40">
        <f t="shared" ref="E17:E19" si="15">IF(A17=1,(C17*1.4*4.33),0)</f>
        <v>0</v>
      </c>
      <c r="F17" s="40">
        <f t="shared" ref="F17:F19" si="16">IF(A17&gt;0,(C17*1.45*4.33),0)</f>
        <v>0</v>
      </c>
      <c r="G17" s="107">
        <f>IF(A17&gt;1,L17,0)</f>
        <v>0</v>
      </c>
      <c r="H17" s="62">
        <f t="shared" si="8"/>
        <v>0</v>
      </c>
      <c r="I17" s="63">
        <f t="shared" si="9"/>
        <v>0</v>
      </c>
      <c r="J17" s="58">
        <f t="shared" si="10"/>
        <v>0</v>
      </c>
      <c r="K17" s="85">
        <f>IF(C17&lt;15.01,75,IF(AND(C17&gt;=15.01,C17&lt;25.01),125,IF(AND(C17&gt;=25.01,C17&lt;35.01),175,IF(AND(C17&lt;45.01),225,275))))</f>
        <v>75</v>
      </c>
      <c r="L17" s="85" t="s">
        <v>55</v>
      </c>
      <c r="M17" s="85">
        <f>IF(C17&lt;5.01,68,IF(AND(C17&gt;5.01,C17&lt;10.01),135,IF(AND(C17&gt;=10.01,C17&lt;15.01),237,IF(AND(C17&gt;=15.01,C17&lt;25.01),374,IF(AND(C17&gt;=25.01,C17&lt;35.01),559,IF(AND(C17&lt;45.01),746,936))))))</f>
        <v>68</v>
      </c>
      <c r="N17" s="85">
        <f>IF(C17&lt;5.01,58,IF(AND(C17&gt;5.01,C17&lt;10.01),115,IF(AND(C17&gt;=10.01,C17&lt;15.01),211,IF(AND(C17&gt;=15.01,C17&lt;25.01),333,IF(AND(C17&gt;=25.01,C17&lt;35.01),498,IF(AND(C17&lt;45.01),665,834))))))</f>
        <v>58</v>
      </c>
      <c r="O17" s="85">
        <f>IF(C17&lt;5.01,54,IF(AND(C17&gt;5.01,C17&lt;10.01),108,IF(AND(C17&gt;=10.01,C17&lt;15.01),197,IF(AND(C17&gt;=15.01,C17&lt;25.01),310,IF(AND(C17&gt;=25.01,C17&lt;35.01),463,IF(AND(C17&lt;45.01),618,774))))))</f>
        <v>54</v>
      </c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</row>
    <row r="18" spans="1:29" ht="35.1" customHeight="1" x14ac:dyDescent="0.35">
      <c r="A18" s="52">
        <v>0</v>
      </c>
      <c r="B18" s="40">
        <f>IF(A18&gt;2,K18,0)</f>
        <v>0</v>
      </c>
      <c r="C18" s="30">
        <v>0</v>
      </c>
      <c r="D18" s="40">
        <f>IF(A18=3.3,M18,IF(AND(A18&gt;=3.4,A18&lt;3.5),N18,IF(AND(A18&gt;=3.5,A18&lt;3.6),O18,0)))</f>
        <v>0</v>
      </c>
      <c r="E18" s="40">
        <f t="shared" si="15"/>
        <v>0</v>
      </c>
      <c r="F18" s="40">
        <f t="shared" si="16"/>
        <v>0</v>
      </c>
      <c r="G18" s="107">
        <f>IF(A18&gt;1,L18,0)</f>
        <v>0</v>
      </c>
      <c r="H18" s="56">
        <f t="shared" si="1"/>
        <v>0</v>
      </c>
      <c r="I18" s="57">
        <f t="shared" si="2"/>
        <v>0</v>
      </c>
      <c r="J18" s="58">
        <f t="shared" si="3"/>
        <v>0</v>
      </c>
      <c r="K18" s="85">
        <f>IF(C18&lt;15.01,75,IF(AND(C18&gt;=15.01,C18&lt;25.01),125,IF(AND(C18&gt;=25.01,C18&lt;35.01),175,IF(AND(C18&lt;45.01),225,275))))</f>
        <v>75</v>
      </c>
      <c r="L18" s="85" t="s">
        <v>60</v>
      </c>
      <c r="M18" s="85">
        <f>IF(C18&lt;5.01,89,IF(AND(C18&gt;5.01,C18&lt;10.01),177,IF(AND(C18&gt;=10.01,C18&lt;15.01),311,IF(AND(C18&gt;=15.01,C18&lt;25.01),492,IF(AND(C18&gt;=25.01,C18&lt;35.01),736,IF(AND(C18&lt;45.01),981,1230))))))</f>
        <v>89</v>
      </c>
      <c r="N18" s="85">
        <f>IF(C18&lt;5.01,75,IF(AND(C18&gt;5.01,C18&lt;10.01),151,IF(AND(C18&gt;=10.01,C18&lt;15.01),277,IF(AND(C18&gt;=15.01,C18&lt;25.01),438,IF(AND(C18&gt;=25.01,C18&lt;35.01),655,IF(AND(C18&lt;45.01),874,1095))))))</f>
        <v>75</v>
      </c>
      <c r="O18" s="85">
        <f>IF(C18&lt;5.01,71,IF(AND(C18&gt;5.01,C18&lt;10.01),142,IF(AND(C18&gt;=10.01,C18&lt;15.01),258,IF(AND(C18&gt;=15.01,C18&lt;25.01),408,IF(AND(C18&gt;=25.01,C18&lt;35.01),608,IF(AND(C18&lt;45.01),812,1018))))))</f>
        <v>71</v>
      </c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</row>
    <row r="19" spans="1:29" ht="35.1" customHeight="1" x14ac:dyDescent="0.35">
      <c r="A19" s="52">
        <v>0</v>
      </c>
      <c r="B19" s="40">
        <f>IF(A19=4,K19,IF(AND(A19&gt;=4.1,A19&lt;4.3),K19,IF(AND(A19&gt;4.3),K20,0)))</f>
        <v>0</v>
      </c>
      <c r="C19" s="30">
        <v>0</v>
      </c>
      <c r="D19" s="40">
        <f>IF(A19=4.1,M19,IF(AND(A19&gt;=4.2,A19&lt;4.3),N19,IF(AND(A19&gt;=5.1,A19&lt;5.2),M20,IF(AND(A19&gt;=5.2,A19&lt;5.3),C50,0))))</f>
        <v>0</v>
      </c>
      <c r="E19" s="40">
        <f t="shared" si="15"/>
        <v>0</v>
      </c>
      <c r="F19" s="40">
        <f t="shared" si="16"/>
        <v>0</v>
      </c>
      <c r="G19" s="107">
        <f>IF(A19=4,L19,IF(AND(A19=4.1),L19,IF(AND(A19&gt;4.1,A19&lt;4.3),O19,IF(AND(A19&gt;=5,A19&lt;=5.1),L20,IF(AND(A19&gt;5.1,A19&lt;5.3),O20,0)))))</f>
        <v>0</v>
      </c>
      <c r="H19" s="56">
        <f t="shared" si="1"/>
        <v>0</v>
      </c>
      <c r="I19" s="57">
        <f t="shared" si="2"/>
        <v>0</v>
      </c>
      <c r="J19" s="58">
        <f t="shared" si="3"/>
        <v>0</v>
      </c>
      <c r="K19" s="85">
        <f>IF(C19=10,65,IF(AND(C19=16),105,IF(AND(C19=25),125,IF(AND(C19=30),170,IF(AND(C19=40),190,IF(AND(C19&gt;40),230,65))))))</f>
        <v>65</v>
      </c>
      <c r="L19" s="85" t="s">
        <v>72</v>
      </c>
      <c r="M19" s="85">
        <f>IF(C19&lt;=10,106,IF(AND(C19&gt;15,C19&lt;24.5),269,IF(AND(C19&gt;24.5,C19&lt;29.5),365,IF(AND(C19&gt;29.5,C19&lt;39.5),518,IF(AND(C19=40),654,880)))))</f>
        <v>106</v>
      </c>
      <c r="N19" s="85">
        <f>IF(C19&lt;=10,106,IF(AND(C19=16),169,IF(AND(C19=25),265,IF(AND(C19=30),318,IF(AND(C19=40),424,530)))))</f>
        <v>106</v>
      </c>
      <c r="O19" s="85" t="s">
        <v>73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</row>
    <row r="20" spans="1:29" ht="30" customHeight="1" x14ac:dyDescent="0.35">
      <c r="A20" s="140" t="s">
        <v>42</v>
      </c>
      <c r="B20" s="141"/>
      <c r="C20" s="142"/>
      <c r="D20" s="151">
        <v>0</v>
      </c>
      <c r="E20" s="153" t="s">
        <v>68</v>
      </c>
      <c r="F20" s="154"/>
      <c r="G20" s="155"/>
      <c r="H20" s="155"/>
      <c r="I20" s="156"/>
      <c r="J20" s="58">
        <f t="shared" si="3"/>
        <v>0</v>
      </c>
      <c r="K20" s="85">
        <f>C19*4.33</f>
        <v>0</v>
      </c>
      <c r="L20" s="85" t="s">
        <v>57</v>
      </c>
      <c r="M20" s="85">
        <f>C19*5.5*4.33</f>
        <v>0</v>
      </c>
      <c r="N20" s="85">
        <f>IF(C19&lt;=19,123.45,IF(AND(C19&gt;19,C19&lt;25.5),246.9,IF(AND(C19&gt;25.6,C19&lt;34.5),370.35,493.8)))</f>
        <v>123.45</v>
      </c>
      <c r="O20" s="85" t="s">
        <v>56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1:29" ht="30" customHeight="1" x14ac:dyDescent="0.35">
      <c r="A21" s="143"/>
      <c r="B21" s="144"/>
      <c r="C21" s="145"/>
      <c r="D21" s="152"/>
      <c r="E21" s="157"/>
      <c r="F21" s="158"/>
      <c r="G21" s="158"/>
      <c r="H21" s="158"/>
      <c r="I21" s="159"/>
      <c r="J21" s="58">
        <f t="shared" si="3"/>
        <v>0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</row>
    <row r="22" spans="1:29" ht="35.1" customHeight="1" x14ac:dyDescent="0.35">
      <c r="A22" s="71"/>
      <c r="B22" s="74">
        <f>SUM(B5:B19)</f>
        <v>0</v>
      </c>
      <c r="C22" s="75">
        <f>SUM(C5:C19)</f>
        <v>0</v>
      </c>
      <c r="D22" s="76">
        <f>SUM(D5:D21)</f>
        <v>0</v>
      </c>
      <c r="E22" s="77">
        <f>SUM(E5:E19)</f>
        <v>0</v>
      </c>
      <c r="F22" s="115">
        <f>SUM(F5:F19)</f>
        <v>0</v>
      </c>
      <c r="G22" s="78">
        <f>SUM(G16:G19)+SUM(G5:G14)</f>
        <v>0</v>
      </c>
      <c r="H22" s="79">
        <f>SUM(H5:H21)</f>
        <v>0</v>
      </c>
      <c r="I22" s="80" t="s">
        <v>7</v>
      </c>
      <c r="J22" s="58">
        <f>SUM(J5:J12)</f>
        <v>0</v>
      </c>
      <c r="K22" s="125">
        <f>SUM(G5:G12)</f>
        <v>0</v>
      </c>
      <c r="L22" s="85"/>
      <c r="M22" s="85"/>
      <c r="N22" s="85"/>
      <c r="O22" s="85"/>
      <c r="P22" s="85"/>
      <c r="Q22" s="85"/>
      <c r="R22" s="85"/>
      <c r="S22" s="85"/>
      <c r="T22" s="85"/>
      <c r="V22" s="85"/>
      <c r="W22" s="85"/>
      <c r="X22" s="85"/>
      <c r="Y22" s="85"/>
      <c r="Z22" s="85"/>
      <c r="AA22" s="85"/>
      <c r="AB22" s="85"/>
      <c r="AC22" s="85"/>
    </row>
    <row r="23" spans="1:29" ht="20.85" customHeight="1" x14ac:dyDescent="0.2"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1:29" ht="35.1" customHeight="1" x14ac:dyDescent="0.35">
      <c r="C24" s="82">
        <f>D22</f>
        <v>0</v>
      </c>
      <c r="D24" s="83" t="s">
        <v>8</v>
      </c>
      <c r="E24" s="84"/>
      <c r="F24" s="84"/>
      <c r="G24" s="108" t="s">
        <v>66</v>
      </c>
      <c r="H24" s="108"/>
      <c r="I24" s="108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9" ht="35.1" customHeight="1" x14ac:dyDescent="0.35">
      <c r="C25" s="82">
        <f>G22</f>
        <v>0</v>
      </c>
      <c r="D25" s="122" t="s">
        <v>67</v>
      </c>
      <c r="E25" s="86"/>
      <c r="F25" s="86"/>
      <c r="G25" s="108" t="s">
        <v>58</v>
      </c>
      <c r="H25" s="108"/>
      <c r="I25" s="108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9" ht="35.1" customHeight="1" x14ac:dyDescent="0.35">
      <c r="C26" s="87">
        <f>SUM(C24)</f>
        <v>0</v>
      </c>
      <c r="D26" s="37" t="s">
        <v>36</v>
      </c>
      <c r="E26" s="88"/>
      <c r="F26" s="88"/>
      <c r="G26" s="108" t="s">
        <v>59</v>
      </c>
      <c r="H26" s="108"/>
      <c r="I26" s="108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</row>
    <row r="27" spans="1:29" ht="20.85" customHeight="1" x14ac:dyDescent="0.3">
      <c r="D27" s="70"/>
      <c r="E27" s="89"/>
      <c r="F27" s="89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9" ht="35.1" customHeight="1" x14ac:dyDescent="0.35">
      <c r="C28" s="80">
        <f>C26</f>
        <v>0</v>
      </c>
      <c r="D28" s="90" t="s">
        <v>9</v>
      </c>
      <c r="E28" s="92"/>
      <c r="F28" s="86"/>
      <c r="G28" s="85"/>
      <c r="H28" s="85"/>
      <c r="I28" s="85"/>
      <c r="J28" s="85"/>
      <c r="K28" s="85"/>
    </row>
    <row r="29" spans="1:29" ht="35.1" customHeight="1" x14ac:dyDescent="0.35">
      <c r="C29" s="80">
        <f>H22</f>
        <v>0</v>
      </c>
      <c r="D29" s="90" t="s">
        <v>4</v>
      </c>
      <c r="E29" s="92"/>
      <c r="F29" s="86"/>
      <c r="G29" s="126" t="s">
        <v>10</v>
      </c>
      <c r="H29" s="116"/>
      <c r="I29" s="116"/>
      <c r="J29" s="85"/>
      <c r="K29" s="85"/>
    </row>
    <row r="30" spans="1:29" ht="35.1" customHeight="1" x14ac:dyDescent="0.35">
      <c r="C30" s="91">
        <f>C28-C29</f>
        <v>0</v>
      </c>
      <c r="D30" s="34" t="s">
        <v>11</v>
      </c>
      <c r="E30" s="165"/>
      <c r="F30" s="88"/>
      <c r="G30" s="126">
        <f>ROUNDDOWN(C30*12,0)</f>
        <v>0</v>
      </c>
      <c r="H30" s="86" t="s">
        <v>12</v>
      </c>
      <c r="I30" s="127">
        <f>IF(G30&lt;9409,0,IF(G30&lt;14533,Steuertabelle!G6,IF(AND(G30&gt;14532,G30&lt;57051),Steuertabelle!G10,Steuertabelle!G13)))</f>
        <v>0</v>
      </c>
      <c r="J30" s="128" t="s">
        <v>43</v>
      </c>
      <c r="K30" s="117"/>
      <c r="L30" s="93"/>
    </row>
    <row r="31" spans="1:29" ht="33.950000000000003" customHeight="1" x14ac:dyDescent="0.35">
      <c r="E31" s="168"/>
      <c r="F31" s="89"/>
      <c r="G31" s="85"/>
      <c r="H31" s="86" t="s">
        <v>13</v>
      </c>
      <c r="I31" s="127">
        <f>IF(G33&lt;450,0,IF(G33&gt;450,G33*18.6%))</f>
        <v>0</v>
      </c>
      <c r="J31" s="84" t="s">
        <v>37</v>
      </c>
      <c r="K31" s="84"/>
      <c r="L31" s="93"/>
    </row>
    <row r="32" spans="1:29" ht="38.1" customHeight="1" x14ac:dyDescent="0.2">
      <c r="A32" s="132" t="s">
        <v>51</v>
      </c>
      <c r="B32" s="132"/>
      <c r="C32" s="132"/>
      <c r="D32" s="132"/>
      <c r="E32" s="132"/>
      <c r="F32" s="132"/>
      <c r="G32" s="132"/>
      <c r="H32" s="105" t="str">
        <f>G2</f>
        <v>MusterTP                       Musterstraße                    Musterort</v>
      </c>
      <c r="I32" s="104">
        <f>I2</f>
        <v>44562</v>
      </c>
      <c r="J32" s="169"/>
      <c r="K32" s="169"/>
      <c r="L32" s="169"/>
      <c r="M32" s="169"/>
    </row>
    <row r="33" spans="2:12" ht="33.950000000000003" customHeight="1" x14ac:dyDescent="0.35">
      <c r="E33" s="168"/>
      <c r="F33" s="168"/>
      <c r="G33" s="170">
        <f>C30</f>
        <v>0</v>
      </c>
      <c r="H33" s="92" t="s">
        <v>14</v>
      </c>
      <c r="I33" s="166">
        <f>IF(G33&lt;470,0,IF(G33&lt;1096.67,155,IF(G33&gt;1096.67,G33*14.6%)))</f>
        <v>0</v>
      </c>
      <c r="J33" s="167">
        <v>0.14899999999999999</v>
      </c>
      <c r="K33" s="93"/>
      <c r="L33" s="93"/>
    </row>
    <row r="34" spans="2:12" ht="46.7" customHeight="1" x14ac:dyDescent="0.35">
      <c r="C34" s="80">
        <f>C26</f>
        <v>0</v>
      </c>
      <c r="D34" s="33" t="s">
        <v>36</v>
      </c>
      <c r="E34" s="165"/>
      <c r="F34" s="165"/>
      <c r="G34" s="93"/>
      <c r="H34" s="92" t="s">
        <v>15</v>
      </c>
      <c r="I34" s="166">
        <f>IF(G33&lt;470,0,IF(G33&lt;1096,32.55,IF(G33&gt;1096.67,G33*3.05%)))</f>
        <v>0</v>
      </c>
      <c r="J34" s="93" t="s">
        <v>38</v>
      </c>
      <c r="K34" s="93"/>
      <c r="L34" s="93"/>
    </row>
    <row r="35" spans="2:12" ht="46.7" customHeight="1" x14ac:dyDescent="0.35">
      <c r="C35" s="80">
        <f>I30*-1</f>
        <v>0</v>
      </c>
      <c r="D35" s="34" t="s">
        <v>16</v>
      </c>
      <c r="E35" s="92"/>
      <c r="F35" s="86"/>
      <c r="G35" s="84"/>
      <c r="H35" s="85">
        <f>1096.67*0.146</f>
        <v>160.11382</v>
      </c>
      <c r="I35" s="116"/>
      <c r="J35" s="85"/>
      <c r="K35" s="85"/>
    </row>
    <row r="36" spans="2:12" ht="46.7" customHeight="1" x14ac:dyDescent="0.35">
      <c r="C36" s="80">
        <f>IF(I31&gt;611.94,-611.94,I31*-1)</f>
        <v>0</v>
      </c>
      <c r="D36" s="34" t="s">
        <v>71</v>
      </c>
      <c r="E36" s="92"/>
      <c r="F36" s="86"/>
      <c r="G36" s="84"/>
      <c r="H36" s="85">
        <f>1096.67*0.0305</f>
        <v>33.448435000000003</v>
      </c>
      <c r="I36" s="85"/>
      <c r="J36" s="85"/>
      <c r="K36" s="85"/>
    </row>
    <row r="37" spans="2:12" ht="46.7" customHeight="1" x14ac:dyDescent="0.35">
      <c r="C37" s="80">
        <f>IF(I33&gt;706.28,-706.28,I33*-1)</f>
        <v>0</v>
      </c>
      <c r="D37" s="34" t="s">
        <v>18</v>
      </c>
      <c r="E37" s="92"/>
      <c r="F37" s="86"/>
      <c r="G37" s="84"/>
      <c r="H37" s="85">
        <v>3290</v>
      </c>
      <c r="I37" s="85"/>
      <c r="J37" s="85"/>
      <c r="K37" s="85"/>
    </row>
    <row r="38" spans="2:12" ht="46.7" customHeight="1" x14ac:dyDescent="0.35">
      <c r="B38" s="171">
        <f>SUM(C35:C38)</f>
        <v>0</v>
      </c>
      <c r="C38" s="80">
        <f>IF(I34&gt;147.54,-147.54,I34*-1)</f>
        <v>0</v>
      </c>
      <c r="D38" s="35" t="s">
        <v>15</v>
      </c>
      <c r="E38" s="92"/>
      <c r="F38" s="92"/>
      <c r="G38" s="93"/>
      <c r="J38" s="42"/>
    </row>
    <row r="39" spans="2:12" ht="46.7" customHeight="1" x14ac:dyDescent="0.35">
      <c r="C39" s="91">
        <f>C34+SUM(C35:C38)</f>
        <v>0</v>
      </c>
      <c r="D39" s="36" t="s">
        <v>41</v>
      </c>
      <c r="E39" s="94"/>
      <c r="F39" s="94"/>
      <c r="G39" s="93"/>
      <c r="J39" s="42"/>
    </row>
    <row r="40" spans="2:12" ht="46.7" customHeight="1" x14ac:dyDescent="0.35">
      <c r="C40" s="80">
        <f>C36/-2</f>
        <v>0</v>
      </c>
      <c r="D40" s="136" t="s">
        <v>19</v>
      </c>
      <c r="E40" s="136"/>
      <c r="F40" s="136"/>
      <c r="G40" s="136"/>
      <c r="H40" s="135" t="s">
        <v>20</v>
      </c>
      <c r="I40" s="135"/>
      <c r="J40" s="135"/>
      <c r="K40" s="135"/>
      <c r="L40" s="135"/>
    </row>
    <row r="41" spans="2:12" ht="46.7" customHeight="1" x14ac:dyDescent="0.35">
      <c r="C41" s="80">
        <f>C37/-2</f>
        <v>0</v>
      </c>
      <c r="D41" s="136" t="s">
        <v>21</v>
      </c>
      <c r="E41" s="136"/>
      <c r="F41" s="136"/>
      <c r="G41" s="136"/>
      <c r="H41" s="135"/>
      <c r="I41" s="135"/>
      <c r="J41" s="135"/>
      <c r="K41" s="135"/>
      <c r="L41" s="135"/>
    </row>
    <row r="42" spans="2:12" ht="46.7" customHeight="1" x14ac:dyDescent="0.35">
      <c r="C42" s="80">
        <f>C38/-2</f>
        <v>0</v>
      </c>
      <c r="D42" s="136" t="s">
        <v>22</v>
      </c>
      <c r="E42" s="136"/>
      <c r="F42" s="136"/>
      <c r="G42" s="136"/>
      <c r="H42" s="135"/>
      <c r="I42" s="135"/>
      <c r="J42" s="135"/>
      <c r="K42" s="135"/>
      <c r="L42" s="135"/>
    </row>
    <row r="43" spans="2:12" ht="46.7" customHeight="1" x14ac:dyDescent="0.35">
      <c r="C43" s="80">
        <v>8.4700000000000006</v>
      </c>
      <c r="D43" s="136" t="s">
        <v>23</v>
      </c>
      <c r="E43" s="136"/>
      <c r="F43" s="136"/>
      <c r="G43" s="136"/>
      <c r="H43" s="135"/>
      <c r="I43" s="135"/>
      <c r="J43" s="135"/>
      <c r="K43" s="135"/>
      <c r="L43" s="135"/>
    </row>
    <row r="44" spans="2:12" ht="46.7" customHeight="1" x14ac:dyDescent="0.35">
      <c r="C44" s="80">
        <v>-8.4700000000000006</v>
      </c>
      <c r="D44" s="137" t="s">
        <v>39</v>
      </c>
      <c r="E44" s="138"/>
      <c r="F44" s="138"/>
      <c r="G44" s="139"/>
      <c r="H44" s="95"/>
      <c r="I44" s="95"/>
      <c r="J44" s="96"/>
      <c r="K44" s="95"/>
      <c r="L44" s="95"/>
    </row>
    <row r="45" spans="2:12" ht="46.7" customHeight="1" x14ac:dyDescent="0.35">
      <c r="C45" s="97">
        <f>SUM(C39:C42)</f>
        <v>0</v>
      </c>
      <c r="D45" s="146" t="s">
        <v>40</v>
      </c>
      <c r="E45" s="146"/>
      <c r="F45" s="146"/>
      <c r="G45" s="146"/>
      <c r="H45" s="135" t="s">
        <v>24</v>
      </c>
      <c r="I45" s="135"/>
      <c r="J45" s="135"/>
      <c r="K45" s="135"/>
      <c r="L45" s="135"/>
    </row>
    <row r="46" spans="2:12" ht="46.7" customHeight="1" x14ac:dyDescent="0.2">
      <c r="H46" s="135"/>
      <c r="I46" s="135"/>
      <c r="J46" s="135"/>
      <c r="K46" s="135"/>
      <c r="L46" s="135"/>
    </row>
    <row r="47" spans="2:12" ht="46.7" customHeight="1" x14ac:dyDescent="0.2">
      <c r="H47" s="135"/>
      <c r="I47" s="135"/>
      <c r="J47" s="135"/>
      <c r="K47" s="135"/>
      <c r="L47" s="135"/>
    </row>
    <row r="48" spans="2:12" ht="46.7" customHeight="1" x14ac:dyDescent="0.3">
      <c r="B48" s="98"/>
      <c r="C48" s="100">
        <f>C45</f>
        <v>0</v>
      </c>
      <c r="D48" s="147" t="s">
        <v>40</v>
      </c>
      <c r="E48" s="148"/>
      <c r="F48" s="148"/>
      <c r="G48" s="148"/>
      <c r="H48" s="135"/>
      <c r="I48" s="135"/>
      <c r="J48" s="135"/>
      <c r="K48" s="135"/>
      <c r="L48" s="135"/>
    </row>
    <row r="49" spans="2:12" ht="46.7" customHeight="1" x14ac:dyDescent="0.25">
      <c r="B49" s="99">
        <f>E22</f>
        <v>0</v>
      </c>
      <c r="C49" s="123">
        <f>H22*-1</f>
        <v>0</v>
      </c>
      <c r="D49" s="149" t="s">
        <v>69</v>
      </c>
      <c r="E49" s="149"/>
      <c r="F49" s="149"/>
      <c r="G49" s="150"/>
      <c r="H49" s="135"/>
      <c r="I49" s="135"/>
      <c r="J49" s="135"/>
      <c r="K49" s="135"/>
      <c r="L49" s="135"/>
    </row>
    <row r="50" spans="2:12" ht="46.7" customHeight="1" x14ac:dyDescent="0.35">
      <c r="B50" s="99"/>
      <c r="C50" s="124">
        <f>C48+C49</f>
        <v>0</v>
      </c>
      <c r="D50" s="160" t="s">
        <v>70</v>
      </c>
      <c r="E50" s="160"/>
      <c r="F50" s="160"/>
      <c r="G50" s="161"/>
      <c r="H50" s="113"/>
      <c r="I50" s="95"/>
      <c r="J50" s="113"/>
      <c r="K50" s="113"/>
      <c r="L50" s="113"/>
    </row>
    <row r="51" spans="2:12" ht="46.7" customHeight="1" x14ac:dyDescent="0.3">
      <c r="B51" s="99"/>
      <c r="C51" s="100">
        <f>IF(F22&gt;0,F22*-1,E22*-1)</f>
        <v>0</v>
      </c>
      <c r="D51" s="162" t="s">
        <v>64</v>
      </c>
      <c r="E51" s="162"/>
      <c r="F51" s="162"/>
      <c r="G51" s="163"/>
      <c r="H51" s="113"/>
      <c r="I51" s="113"/>
      <c r="J51" s="113"/>
      <c r="K51" s="113"/>
      <c r="L51" s="113"/>
    </row>
    <row r="52" spans="2:12" ht="46.7" customHeight="1" x14ac:dyDescent="0.35">
      <c r="B52" s="99"/>
      <c r="C52" s="101">
        <f>C48+C51</f>
        <v>0</v>
      </c>
      <c r="D52" s="130" t="s">
        <v>74</v>
      </c>
      <c r="E52" s="130"/>
      <c r="F52" s="130"/>
      <c r="G52" s="131"/>
      <c r="H52" s="113"/>
      <c r="I52" s="113"/>
      <c r="J52" s="113"/>
      <c r="K52" s="113"/>
      <c r="L52" s="113"/>
    </row>
  </sheetData>
  <sheetProtection password="E76D" sheet="1" selectLockedCells="1"/>
  <mergeCells count="19">
    <mergeCell ref="E20:I21"/>
    <mergeCell ref="D50:G50"/>
    <mergeCell ref="D51:G51"/>
    <mergeCell ref="D52:G52"/>
    <mergeCell ref="A1:M1"/>
    <mergeCell ref="A32:G32"/>
    <mergeCell ref="A2:C2"/>
    <mergeCell ref="H45:L49"/>
    <mergeCell ref="D40:G40"/>
    <mergeCell ref="H40:L43"/>
    <mergeCell ref="D41:G41"/>
    <mergeCell ref="D42:G42"/>
    <mergeCell ref="D43:G43"/>
    <mergeCell ref="D44:G44"/>
    <mergeCell ref="A20:C21"/>
    <mergeCell ref="D45:G45"/>
    <mergeCell ref="D48:G48"/>
    <mergeCell ref="D49:G49"/>
    <mergeCell ref="D20:D21"/>
  </mergeCells>
  <phoneticPr fontId="12" type="noConversion"/>
  <pageMargins left="0.39370078740157483" right="0.39370078740157483" top="0.19685039370078741" bottom="0.19685039370078741" header="0.51181102362204722" footer="0.51181102362204722"/>
  <pageSetup paperSize="9" scale="55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opLeftCell="A13" zoomScale="75" zoomScaleNormal="75" workbookViewId="0">
      <selection activeCell="E6" sqref="E6"/>
    </sheetView>
  </sheetViews>
  <sheetFormatPr baseColWidth="10" defaultRowHeight="27" x14ac:dyDescent="0.35"/>
  <cols>
    <col min="1" max="1" width="46.140625" style="1" customWidth="1"/>
    <col min="2" max="2" width="29.85546875" style="1" customWidth="1"/>
    <col min="3" max="4" width="13.140625" style="1" customWidth="1"/>
    <col min="5" max="5" width="23.42578125" style="1" customWidth="1"/>
    <col min="6" max="6" width="26.28515625" style="1" customWidth="1"/>
    <col min="7" max="7" width="19" style="1" customWidth="1"/>
    <col min="8" max="8" width="24.42578125" style="1" customWidth="1"/>
    <col min="9" max="16384" width="11.42578125" style="1"/>
  </cols>
  <sheetData>
    <row r="1" spans="1:8" ht="27.75" x14ac:dyDescent="0.4">
      <c r="A1" s="164" t="s">
        <v>25</v>
      </c>
      <c r="B1" s="164"/>
      <c r="C1" s="164"/>
      <c r="D1" s="164"/>
      <c r="E1" s="164"/>
      <c r="F1" s="164"/>
      <c r="G1" s="164"/>
      <c r="H1" s="164"/>
    </row>
    <row r="2" spans="1:8" x14ac:dyDescent="0.35">
      <c r="A2" s="3"/>
      <c r="B2" s="4"/>
      <c r="C2" s="4"/>
      <c r="D2" s="4"/>
      <c r="E2" s="4"/>
      <c r="F2" s="4"/>
      <c r="G2" s="4"/>
      <c r="H2" s="5"/>
    </row>
    <row r="3" spans="1:8" x14ac:dyDescent="0.35">
      <c r="A3" s="6" t="s">
        <v>26</v>
      </c>
      <c r="B3" s="6"/>
      <c r="C3" s="6"/>
      <c r="D3" s="6"/>
      <c r="E3" s="6"/>
      <c r="F3" s="6"/>
      <c r="G3" s="7" t="s">
        <v>27</v>
      </c>
      <c r="H3" s="6" t="s">
        <v>28</v>
      </c>
    </row>
    <row r="4" spans="1:8" x14ac:dyDescent="0.35">
      <c r="A4" s="8">
        <v>10348</v>
      </c>
      <c r="B4" s="9"/>
      <c r="C4" s="6"/>
      <c r="D4" s="6"/>
      <c r="E4" s="6"/>
      <c r="F4" s="32" t="b">
        <f>IF(A4&lt;9000,"0")</f>
        <v>0</v>
      </c>
      <c r="G4" s="11"/>
      <c r="H4" s="8">
        <f>A4*2</f>
        <v>20696</v>
      </c>
    </row>
    <row r="5" spans="1:8" x14ac:dyDescent="0.35">
      <c r="A5" s="31">
        <f>IF('20xx'!G30&lt;14533,'20xx'!G30)</f>
        <v>0</v>
      </c>
      <c r="B5" s="6"/>
      <c r="C5" s="6"/>
      <c r="D5" s="6"/>
      <c r="E5" s="6"/>
      <c r="F5" s="6"/>
      <c r="G5" s="11"/>
      <c r="H5" s="6">
        <f>A5*2</f>
        <v>0</v>
      </c>
    </row>
    <row r="6" spans="1:8" ht="27.75" x14ac:dyDescent="0.4">
      <c r="A6" s="6">
        <f>A5-A4</f>
        <v>-10348</v>
      </c>
      <c r="B6" s="6">
        <f>A6/10000</f>
        <v>-1.0347999999999999</v>
      </c>
      <c r="C6" s="6">
        <v>1008.7</v>
      </c>
      <c r="D6" s="6">
        <v>1400</v>
      </c>
      <c r="E6" s="6">
        <f>(C6*B6+D6)*B6</f>
        <v>-368.59290395199992</v>
      </c>
      <c r="F6" s="13">
        <f>ROUNDDOWN(E6,0)</f>
        <v>-368</v>
      </c>
      <c r="G6" s="14">
        <f>ROUNDDOWN(F6/12,0)</f>
        <v>-30</v>
      </c>
      <c r="H6" s="13">
        <f>ROUNDDOWN(F6,0)*2</f>
        <v>-736</v>
      </c>
    </row>
    <row r="7" spans="1:8" x14ac:dyDescent="0.35">
      <c r="A7" s="6"/>
      <c r="B7" s="6"/>
      <c r="C7" s="6"/>
      <c r="D7" s="6"/>
      <c r="E7" s="6"/>
      <c r="F7" s="6"/>
      <c r="G7" s="14"/>
      <c r="H7" s="6"/>
    </row>
    <row r="8" spans="1:8" x14ac:dyDescent="0.35">
      <c r="A8" s="8">
        <v>14927</v>
      </c>
      <c r="B8" s="6"/>
      <c r="C8" s="6"/>
      <c r="D8" s="6"/>
      <c r="E8" s="6"/>
      <c r="F8" s="6"/>
      <c r="G8" s="14"/>
      <c r="H8" s="8">
        <f>A8*2</f>
        <v>29854</v>
      </c>
    </row>
    <row r="9" spans="1:8" ht="27.75" x14ac:dyDescent="0.4">
      <c r="A9" s="12" t="b">
        <f>IF(AND('20xx'!G30&gt;14533,'20xx'!G30&lt;57051),'20xx'!G30)</f>
        <v>0</v>
      </c>
      <c r="B9" s="9"/>
      <c r="C9" s="9"/>
      <c r="D9" s="9"/>
      <c r="E9" s="9"/>
      <c r="F9" s="9"/>
      <c r="G9" s="14"/>
      <c r="H9" s="6">
        <f>A9*2</f>
        <v>0</v>
      </c>
    </row>
    <row r="10" spans="1:8" ht="27.75" x14ac:dyDescent="0.4">
      <c r="A10" s="9">
        <f>(A9-A8)</f>
        <v>-14927</v>
      </c>
      <c r="B10" s="9">
        <f>A10/10000</f>
        <v>-1.4926999999999999</v>
      </c>
      <c r="C10" s="9">
        <v>206.43</v>
      </c>
      <c r="D10" s="9">
        <v>2397</v>
      </c>
      <c r="E10" s="9">
        <f>(B10*C10+D10)*B10+869.32</f>
        <v>-2248.7242163452993</v>
      </c>
      <c r="F10" s="13">
        <f>ROUNDDOWN(E10,0)</f>
        <v>-2248</v>
      </c>
      <c r="G10" s="14">
        <f>ROUNDDOWN(F10/12,0)</f>
        <v>-187</v>
      </c>
      <c r="H10" s="13">
        <f>F10*2</f>
        <v>-4496</v>
      </c>
    </row>
    <row r="11" spans="1:8" x14ac:dyDescent="0.35">
      <c r="A11" s="9"/>
      <c r="B11" s="9"/>
      <c r="C11" s="9"/>
      <c r="D11" s="9"/>
      <c r="E11" s="9"/>
      <c r="F11" s="9"/>
      <c r="G11" s="14"/>
      <c r="H11" s="9"/>
    </row>
    <row r="12" spans="1:8" x14ac:dyDescent="0.35">
      <c r="A12" s="8">
        <v>58597</v>
      </c>
      <c r="B12" s="9"/>
      <c r="C12" s="9"/>
      <c r="D12" s="9"/>
      <c r="E12" s="9"/>
      <c r="F12" s="9"/>
      <c r="G12" s="14"/>
      <c r="H12" s="8">
        <f>A12*2-2</f>
        <v>117192</v>
      </c>
    </row>
    <row r="13" spans="1:8" ht="27.75" x14ac:dyDescent="0.4">
      <c r="A13" s="12" t="b">
        <f>IF('20xx'!G30&gt;57052,'20xx'!G30)</f>
        <v>0</v>
      </c>
      <c r="B13" s="9">
        <v>0.42</v>
      </c>
      <c r="C13" s="9">
        <v>9336.4500000000007</v>
      </c>
      <c r="D13" s="9"/>
      <c r="E13" s="9">
        <f>A13*B13-C13</f>
        <v>-9336.4500000000007</v>
      </c>
      <c r="F13" s="13">
        <f>ROUNDDOWN(E13,0)</f>
        <v>-9336</v>
      </c>
      <c r="G13" s="14">
        <f>ROUNDDOWN(F13/12,0)</f>
        <v>-778</v>
      </c>
      <c r="H13" s="6">
        <f>A13*2</f>
        <v>0</v>
      </c>
    </row>
    <row r="14" spans="1:8" ht="27.75" x14ac:dyDescent="0.4">
      <c r="A14" s="15"/>
      <c r="B14" s="11"/>
      <c r="C14" s="11"/>
      <c r="D14" s="11"/>
      <c r="E14" s="11"/>
      <c r="F14" s="11"/>
      <c r="G14" s="11"/>
      <c r="H14" s="13">
        <f>F13*2</f>
        <v>-18672</v>
      </c>
    </row>
    <row r="15" spans="1:8" x14ac:dyDescent="0.35">
      <c r="A15" s="15"/>
      <c r="B15" s="11"/>
      <c r="C15" s="11"/>
      <c r="D15" s="11"/>
      <c r="E15" s="11"/>
      <c r="F15" s="11"/>
      <c r="G15" s="11"/>
      <c r="H15" s="16"/>
    </row>
    <row r="16" spans="1:8" x14ac:dyDescent="0.35">
      <c r="A16" s="15"/>
      <c r="B16" s="11"/>
      <c r="C16" s="11"/>
      <c r="D16" s="11"/>
      <c r="E16" s="11"/>
      <c r="F16" s="11"/>
      <c r="G16" s="11"/>
      <c r="H16" s="16"/>
    </row>
    <row r="17" spans="1:8" x14ac:dyDescent="0.35">
      <c r="A17" s="17" t="s">
        <v>29</v>
      </c>
      <c r="B17" s="18"/>
      <c r="C17" s="18"/>
      <c r="D17" s="11"/>
      <c r="E17" s="11"/>
      <c r="F17" s="11"/>
      <c r="G17" s="11"/>
      <c r="H17" s="16"/>
    </row>
    <row r="18" spans="1:8" x14ac:dyDescent="0.35">
      <c r="A18" s="19" t="s">
        <v>11</v>
      </c>
      <c r="B18" s="20"/>
      <c r="C18" s="20"/>
      <c r="D18" s="11"/>
      <c r="E18" s="11"/>
      <c r="F18" s="11"/>
      <c r="G18" s="11"/>
      <c r="H18" s="16"/>
    </row>
    <row r="19" spans="1:8" ht="27.75" x14ac:dyDescent="0.4">
      <c r="A19" s="21" t="s">
        <v>30</v>
      </c>
      <c r="B19" s="22"/>
      <c r="C19" s="22"/>
      <c r="D19" s="23"/>
      <c r="E19" s="23"/>
      <c r="F19" s="23"/>
      <c r="G19" s="23"/>
      <c r="H19" s="24"/>
    </row>
    <row r="20" spans="1:8" x14ac:dyDescent="0.35">
      <c r="H20" s="27"/>
    </row>
    <row r="21" spans="1:8" x14ac:dyDescent="0.35">
      <c r="H21" s="27"/>
    </row>
    <row r="22" spans="1:8" ht="27.75" x14ac:dyDescent="0.4">
      <c r="A22" s="2" t="s">
        <v>31</v>
      </c>
      <c r="B22" s="2"/>
      <c r="C22" s="2"/>
      <c r="D22" s="2"/>
      <c r="E22" s="2"/>
      <c r="F22" s="2"/>
      <c r="G22" s="25"/>
      <c r="H22" s="26"/>
    </row>
    <row r="23" spans="1:8" x14ac:dyDescent="0.35">
      <c r="A23" s="3"/>
      <c r="B23" s="4"/>
      <c r="C23" s="4"/>
      <c r="D23" s="4"/>
      <c r="E23" s="4"/>
      <c r="F23" s="4"/>
      <c r="G23" s="4"/>
      <c r="H23" s="4"/>
    </row>
    <row r="24" spans="1:8" x14ac:dyDescent="0.35">
      <c r="A24" s="6" t="s">
        <v>32</v>
      </c>
      <c r="B24" s="6"/>
      <c r="C24" s="6"/>
      <c r="D24" s="6"/>
      <c r="E24" s="6"/>
      <c r="F24" s="6"/>
      <c r="G24" s="7"/>
      <c r="H24" s="4"/>
    </row>
    <row r="25" spans="1:8" ht="27.75" x14ac:dyDescent="0.4">
      <c r="A25" s="8">
        <v>470</v>
      </c>
      <c r="B25" s="9"/>
      <c r="C25" s="6"/>
      <c r="D25" s="6"/>
      <c r="E25" s="6"/>
      <c r="F25" s="10" t="b">
        <f>IF(A25&lt;455,"0")</f>
        <v>0</v>
      </c>
      <c r="G25" s="11"/>
      <c r="H25" s="4"/>
    </row>
    <row r="26" spans="1:8" ht="27.75" x14ac:dyDescent="0.4">
      <c r="A26" s="12">
        <f>'20xx'!G33</f>
        <v>0</v>
      </c>
      <c r="B26" s="6"/>
      <c r="C26" s="6"/>
      <c r="D26" s="6"/>
      <c r="E26" s="6"/>
      <c r="F26" s="29">
        <f>IF(A26&lt;1061.67,155,IF(A26&gt;1061.67,A26*14.6%))</f>
        <v>155</v>
      </c>
      <c r="G26" s="11"/>
      <c r="H26" s="4"/>
    </row>
    <row r="27" spans="1:8" ht="27.75" x14ac:dyDescent="0.4">
      <c r="A27" s="6" t="s">
        <v>7</v>
      </c>
      <c r="B27" s="6"/>
      <c r="C27" s="6"/>
      <c r="D27" s="6"/>
      <c r="E27" s="6"/>
      <c r="F27" s="111"/>
      <c r="G27" s="14"/>
      <c r="H27" s="28"/>
    </row>
    <row r="28" spans="1:8" x14ac:dyDescent="0.35">
      <c r="A28" s="6" t="s">
        <v>17</v>
      </c>
      <c r="B28" s="6"/>
      <c r="C28" s="6"/>
      <c r="D28" s="6"/>
      <c r="E28" s="6"/>
      <c r="F28" s="6"/>
      <c r="G28" s="14"/>
      <c r="H28" s="4"/>
    </row>
    <row r="29" spans="1:8" ht="27.75" x14ac:dyDescent="0.4">
      <c r="A29" s="8">
        <v>450</v>
      </c>
      <c r="B29" s="6"/>
      <c r="C29" s="6"/>
      <c r="D29" s="6"/>
      <c r="E29" s="6"/>
      <c r="F29" s="10" t="b">
        <f>IF(A29&lt;450,0)</f>
        <v>0</v>
      </c>
      <c r="G29" s="14"/>
      <c r="H29" s="4"/>
    </row>
    <row r="30" spans="1:8" ht="27.75" x14ac:dyDescent="0.4">
      <c r="A30" s="12">
        <f>'20xx'!G33</f>
        <v>0</v>
      </c>
      <c r="B30" s="9"/>
      <c r="C30" s="9"/>
      <c r="D30" s="9"/>
      <c r="E30" s="9"/>
      <c r="F30" s="110" t="b">
        <f>IF(A30&gt;450,A30*18.6%)</f>
        <v>0</v>
      </c>
      <c r="G30" s="14"/>
      <c r="H30" s="4"/>
    </row>
    <row r="31" spans="1:8" ht="27.75" x14ac:dyDescent="0.4">
      <c r="A31" s="9"/>
      <c r="B31" s="9"/>
      <c r="C31" s="9"/>
      <c r="D31" s="9"/>
      <c r="E31" s="9"/>
      <c r="F31" s="112"/>
      <c r="G31" s="14"/>
      <c r="H31" s="28"/>
    </row>
    <row r="32" spans="1:8" x14ac:dyDescent="0.35">
      <c r="A32" s="6" t="s">
        <v>33</v>
      </c>
      <c r="B32" s="6"/>
      <c r="C32" s="6"/>
      <c r="D32" s="6"/>
      <c r="E32" s="6"/>
      <c r="F32" s="6"/>
      <c r="H32" s="27"/>
    </row>
    <row r="33" spans="1:8" ht="27.75" x14ac:dyDescent="0.4">
      <c r="A33" s="8">
        <v>470</v>
      </c>
      <c r="B33" s="9"/>
      <c r="C33" s="6"/>
      <c r="D33" s="6"/>
      <c r="E33" s="6"/>
      <c r="F33" s="10" t="b">
        <f>IF(A33&lt;455,"0")</f>
        <v>0</v>
      </c>
      <c r="H33" s="27"/>
    </row>
    <row r="34" spans="1:8" ht="27.75" x14ac:dyDescent="0.4">
      <c r="A34" s="12">
        <f>'20xx'!G33</f>
        <v>0</v>
      </c>
      <c r="B34" s="6"/>
      <c r="C34" s="6"/>
      <c r="D34" s="6"/>
      <c r="E34" s="6"/>
      <c r="F34" s="29" t="b">
        <f>IF(A34&gt;455,A34*3.05%)</f>
        <v>0</v>
      </c>
    </row>
  </sheetData>
  <sheetProtection password="E76D" sheet="1" selectLockedCells="1"/>
  <mergeCells count="1">
    <mergeCell ref="A1:H1"/>
  </mergeCells>
  <phoneticPr fontId="1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20xx</vt:lpstr>
      <vt:lpstr>Steuertabelle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Kreuchauff, Karsten</dc:creator>
  <cp:lastModifiedBy>Kreuchauff, Karsten</cp:lastModifiedBy>
  <cp:lastPrinted>2019-04-04T08:14:43Z</cp:lastPrinted>
  <dcterms:created xsi:type="dcterms:W3CDTF">2008-12-17T08:40:25Z</dcterms:created>
  <dcterms:modified xsi:type="dcterms:W3CDTF">2022-05-19T14:11:46Z</dcterms:modified>
</cp:coreProperties>
</file>