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57_Tagespflege\Tagespflege\Berichte - Bestätigungen TPs\Bestätigungen Verdienst Steuer u.v.m\- Vorlagen\Kalkulationstabellen\"/>
    </mc:Choice>
  </mc:AlternateContent>
  <bookViews>
    <workbookView xWindow="-5895" yWindow="1770" windowWidth="24240" windowHeight="12000"/>
  </bookViews>
  <sheets>
    <sheet name="20xx" sheetId="1" r:id="rId1"/>
    <sheet name="Steuertabelle" sheetId="2" r:id="rId2"/>
    <sheet name="Bemessungsgrenzen 2023" sheetId="3" r:id="rId3"/>
  </sheets>
  <calcPr calcId="162913"/>
</workbook>
</file>

<file path=xl/calcChain.xml><?xml version="1.0" encoding="utf-8"?>
<calcChain xmlns="http://schemas.openxmlformats.org/spreadsheetml/2006/main">
  <c r="H35" i="1" l="1"/>
  <c r="H36" i="1"/>
  <c r="H19" i="1"/>
  <c r="H18" i="1"/>
  <c r="H17" i="1"/>
  <c r="H16" i="1"/>
  <c r="H14" i="1"/>
  <c r="H13" i="1"/>
  <c r="H12" i="1"/>
  <c r="H11" i="1"/>
  <c r="H10" i="1"/>
  <c r="H9" i="1"/>
  <c r="H8" i="1"/>
  <c r="E16" i="1"/>
  <c r="G6" i="1" l="1"/>
  <c r="G7" i="1"/>
  <c r="G8" i="1"/>
  <c r="G9" i="1"/>
  <c r="G10" i="1"/>
  <c r="G11" i="1"/>
  <c r="G12" i="1"/>
  <c r="G13" i="1"/>
  <c r="G14" i="1"/>
  <c r="G5" i="1"/>
  <c r="F33" i="2" l="1"/>
  <c r="F25" i="2"/>
  <c r="D6" i="1" l="1"/>
  <c r="F7" i="1" l="1"/>
  <c r="F8" i="1"/>
  <c r="F9" i="1"/>
  <c r="F10" i="1"/>
  <c r="F11" i="1"/>
  <c r="F12" i="1"/>
  <c r="F13" i="1"/>
  <c r="F14" i="1"/>
  <c r="F6" i="1"/>
  <c r="E6" i="1" s="1"/>
  <c r="F5" i="1"/>
  <c r="E8" i="1" l="1"/>
  <c r="D7" i="1"/>
  <c r="E7" i="1" s="1"/>
  <c r="D8" i="1"/>
  <c r="D9" i="1"/>
  <c r="E9" i="1" s="1"/>
  <c r="D10" i="1"/>
  <c r="E10" i="1" s="1"/>
  <c r="D11" i="1"/>
  <c r="E11" i="1" s="1"/>
  <c r="D12" i="1"/>
  <c r="E12" i="1" s="1"/>
  <c r="D13" i="1"/>
  <c r="E13" i="1" s="1"/>
  <c r="D14" i="1"/>
  <c r="E14" i="1" s="1"/>
  <c r="D5" i="1"/>
  <c r="E5" i="1" s="1"/>
  <c r="E22" i="1" l="1"/>
  <c r="F22" i="1"/>
  <c r="C51" i="1" s="1"/>
  <c r="F4" i="2"/>
  <c r="F29" i="2" l="1"/>
  <c r="H32" i="1" l="1"/>
  <c r="I32" i="1"/>
  <c r="I13" i="1"/>
  <c r="B13" i="1"/>
  <c r="I14" i="1"/>
  <c r="J14" i="1" s="1"/>
  <c r="B14" i="1"/>
  <c r="I18" i="1"/>
  <c r="I19" i="1"/>
  <c r="I7" i="1"/>
  <c r="I8" i="1"/>
  <c r="J8" i="1" s="1"/>
  <c r="I6" i="1"/>
  <c r="H12" i="2"/>
  <c r="I5" i="1"/>
  <c r="B8" i="1"/>
  <c r="B7" i="1"/>
  <c r="B6" i="1"/>
  <c r="B5" i="1"/>
  <c r="B10" i="1"/>
  <c r="C22" i="1"/>
  <c r="I10" i="1"/>
  <c r="J10" i="1" s="1"/>
  <c r="B11" i="1"/>
  <c r="B12" i="1"/>
  <c r="I11" i="1"/>
  <c r="J11" i="1" s="1"/>
  <c r="I12" i="1"/>
  <c r="J12" i="1" s="1"/>
  <c r="I16" i="1"/>
  <c r="I17" i="1"/>
  <c r="H4" i="2"/>
  <c r="H8" i="2"/>
  <c r="B9" i="1"/>
  <c r="I9" i="1"/>
  <c r="J9" i="1" s="1"/>
  <c r="J7" i="1" l="1"/>
  <c r="H7" i="1"/>
  <c r="J6" i="1"/>
  <c r="H6" i="1"/>
  <c r="J5" i="1"/>
  <c r="H5" i="1"/>
  <c r="G22" i="1"/>
  <c r="C25" i="1" s="1"/>
  <c r="D22" i="1"/>
  <c r="C24" i="1" s="1"/>
  <c r="C26" i="1" s="1"/>
  <c r="C28" i="1" s="1"/>
  <c r="B22" i="1"/>
  <c r="J13" i="1"/>
  <c r="C34" i="1" l="1"/>
  <c r="H22" i="1"/>
  <c r="C49" i="1" s="1"/>
  <c r="B49" i="1" l="1"/>
  <c r="C29" i="1"/>
  <c r="C30" i="1" s="1"/>
  <c r="G33" i="1" s="1"/>
  <c r="I33" i="1" l="1"/>
  <c r="I34" i="1"/>
  <c r="I31" i="1"/>
  <c r="C36" i="1" s="1"/>
  <c r="C40" i="1" s="1"/>
  <c r="C37" i="1"/>
  <c r="C41" i="1" s="1"/>
  <c r="C38" i="1"/>
  <c r="C42" i="1" s="1"/>
  <c r="A30" i="2"/>
  <c r="F30" i="2" s="1"/>
  <c r="A34" i="2"/>
  <c r="F34" i="2" s="1"/>
  <c r="A26" i="2"/>
  <c r="F26" i="2" s="1"/>
  <c r="G30" i="1"/>
  <c r="A9" i="2" l="1"/>
  <c r="A10" i="2" s="1"/>
  <c r="B10" i="2" s="1"/>
  <c r="E10" i="2" s="1"/>
  <c r="A5" i="2"/>
  <c r="A6" i="2" s="1"/>
  <c r="B6" i="2" s="1"/>
  <c r="E6" i="2" s="1"/>
  <c r="A13" i="2"/>
  <c r="F6" i="2" l="1"/>
  <c r="F10" i="2"/>
  <c r="H5" i="2"/>
  <c r="E13" i="2"/>
  <c r="F13" i="2" s="1"/>
  <c r="H13" i="2"/>
  <c r="H9" i="2"/>
  <c r="G6" i="2" l="1"/>
  <c r="H6" i="2"/>
  <c r="H14" i="2"/>
  <c r="G13" i="2"/>
  <c r="G10" i="2"/>
  <c r="H10" i="2"/>
  <c r="I30" i="1" l="1"/>
  <c r="C35" i="1" s="1"/>
  <c r="C39" i="1" l="1"/>
  <c r="C45" i="1" s="1"/>
  <c r="B38" i="1"/>
  <c r="C48" i="1" l="1"/>
  <c r="C52" i="1" l="1"/>
  <c r="C50" i="1"/>
</calcChain>
</file>

<file path=xl/comments1.xml><?xml version="1.0" encoding="utf-8"?>
<comments xmlns="http://schemas.openxmlformats.org/spreadsheetml/2006/main">
  <authors>
    <author>Kreuchauff, Karsten</author>
    <author>51121</author>
  </authors>
  <commentList>
    <comment ref="D36" authorId="0" shapeId="0">
      <text>
        <r>
          <rPr>
            <b/>
            <sz val="10"/>
            <color indexed="81"/>
            <rFont val="Arial"/>
            <family val="2"/>
          </rPr>
          <t>Kreuchauff, Karsten:</t>
        </r>
        <r>
          <rPr>
            <sz val="10"/>
            <color indexed="81"/>
            <rFont val="Arial"/>
            <family val="2"/>
          </rPr>
          <t xml:space="preserve">
Bezugsgröße 2023
3395,00 EUR
=&gt; 3395/2 * 18,6%  =&gt;315,74 EUR</t>
        </r>
        <r>
          <rPr>
            <sz val="9"/>
            <color indexed="81"/>
            <rFont val="Tahoma"/>
            <family val="2"/>
          </rPr>
          <t xml:space="preserve">
</t>
        </r>
      </text>
    </comment>
    <comment ref="D37" authorId="0" shapeId="0">
      <text>
        <r>
          <rPr>
            <b/>
            <sz val="10"/>
            <color indexed="81"/>
            <rFont val="Tahoma"/>
            <family val="2"/>
          </rPr>
          <t>Kreuchauff, Karsten:</t>
        </r>
        <r>
          <rPr>
            <sz val="10"/>
            <color indexed="81"/>
            <rFont val="Tahoma"/>
            <family val="2"/>
          </rPr>
          <t xml:space="preserve">
Bezugsgröße 2019 =&gt;3395,00 EUR
Mindestbemessungsgrundlage SV =&gt; 3395/90 * 30  =&gt;1131,67 EUR</t>
        </r>
      </text>
    </comment>
    <comment ref="D38" authorId="0" shapeId="0">
      <text>
        <r>
          <rPr>
            <b/>
            <sz val="9"/>
            <color indexed="81"/>
            <rFont val="Tahoma"/>
            <family val="2"/>
          </rPr>
          <t>Kreuchauff, Karsten:</t>
        </r>
        <r>
          <rPr>
            <sz val="9"/>
            <color indexed="81"/>
            <rFont val="Tahoma"/>
            <family val="2"/>
          </rPr>
          <t xml:space="preserve">
Bezugsgröße 2019 =&gt;3115,00 EUR
Mindestbemessungsgrundlage SV =&gt; 3115/90 * 30  =&gt;1038,33 EUR</t>
        </r>
      </text>
    </comment>
    <comment ref="B49" authorId="1" shapeId="0">
      <text>
        <r>
          <rPr>
            <b/>
            <sz val="10"/>
            <color indexed="81"/>
            <rFont val="Tahoma"/>
            <family val="2"/>
          </rPr>
          <t>51121:</t>
        </r>
        <r>
          <rPr>
            <sz val="10"/>
            <color indexed="81"/>
            <rFont val="Tahoma"/>
            <family val="2"/>
          </rPr>
          <t xml:space="preserve">
enthaltener Sachaufwand </t>
        </r>
      </text>
    </comment>
  </commentList>
</comments>
</file>

<file path=xl/comments2.xml><?xml version="1.0" encoding="utf-8"?>
<comments xmlns="http://schemas.openxmlformats.org/spreadsheetml/2006/main">
  <authors>
    <author>Kreuchauff, Karsten</author>
  </authors>
  <commentList>
    <comment ref="B6" authorId="0" shapeId="0">
      <text>
        <r>
          <rPr>
            <b/>
            <sz val="9"/>
            <color indexed="81"/>
            <rFont val="Tahoma"/>
            <family val="2"/>
          </rPr>
          <t>Kreuchauff, Karsten:</t>
        </r>
        <r>
          <rPr>
            <sz val="9"/>
            <color indexed="81"/>
            <rFont val="Tahoma"/>
            <family val="2"/>
          </rPr>
          <t xml:space="preserve">
=&gt; Y
</t>
        </r>
      </text>
    </comment>
    <comment ref="B10" authorId="0" shapeId="0">
      <text>
        <r>
          <rPr>
            <b/>
            <sz val="9"/>
            <color indexed="81"/>
            <rFont val="Tahoma"/>
            <family val="2"/>
          </rPr>
          <t>Kreuchauff, Karsten:</t>
        </r>
        <r>
          <rPr>
            <sz val="9"/>
            <color indexed="81"/>
            <rFont val="Tahoma"/>
            <family val="2"/>
          </rPr>
          <t xml:space="preserve">
=&gt; Z
</t>
        </r>
      </text>
    </comment>
  </commentList>
</comments>
</file>

<file path=xl/sharedStrings.xml><?xml version="1.0" encoding="utf-8"?>
<sst xmlns="http://schemas.openxmlformats.org/spreadsheetml/2006/main" count="99" uniqueCount="85">
  <si>
    <t>Pflegesatz</t>
  </si>
  <si>
    <t>Landesförderung</t>
  </si>
  <si>
    <t>Betriebskostenpauschale</t>
  </si>
  <si>
    <t>Kind</t>
  </si>
  <si>
    <t>BKP</t>
  </si>
  <si>
    <t>%ual  von 40 Std</t>
  </si>
  <si>
    <t>BKP errechnet</t>
  </si>
  <si>
    <t xml:space="preserve"> </t>
  </si>
  <si>
    <t>monatl. Zahlung JA</t>
  </si>
  <si>
    <t>Umsatz</t>
  </si>
  <si>
    <t>p.a.</t>
  </si>
  <si>
    <t>zu versteuernder Gewinn</t>
  </si>
  <si>
    <t>Steuern v. Gewinn</t>
  </si>
  <si>
    <t>gesetzliche Rentenvers.</t>
  </si>
  <si>
    <t>Krankenvers.</t>
  </si>
  <si>
    <t>Pflegevers.</t>
  </si>
  <si>
    <t>Steuern</t>
  </si>
  <si>
    <t>RV</t>
  </si>
  <si>
    <t>KV</t>
  </si>
  <si>
    <t>Anteil RV (1/2 der tatsächlichen Kosten) Steuerfrei</t>
  </si>
  <si>
    <r>
      <t>Ø</t>
    </r>
    <r>
      <rPr>
        <b/>
        <sz val="18"/>
        <rFont val="Arial"/>
        <family val="2"/>
      </rPr>
      <t xml:space="preserve">Hälftige Erstattung </t>
    </r>
    <r>
      <rPr>
        <sz val="18"/>
        <rFont val="Arial"/>
        <family val="2"/>
      </rPr>
      <t>der Aufwendungen der Tagespflegeperson zu</t>
    </r>
    <r>
      <rPr>
        <b/>
        <sz val="18"/>
        <rFont val="Arial"/>
        <family val="2"/>
      </rPr>
      <t xml:space="preserve"> Krankenversicherung </t>
    </r>
    <r>
      <rPr>
        <sz val="18"/>
        <rFont val="Arial"/>
        <family val="2"/>
      </rPr>
      <t>und</t>
    </r>
    <r>
      <rPr>
        <b/>
        <sz val="18"/>
        <rFont val="Arial"/>
        <family val="2"/>
      </rPr>
      <t xml:space="preserve"> Pflegeversicherung </t>
    </r>
    <r>
      <rPr>
        <sz val="18"/>
        <rFont val="Arial"/>
        <family val="2"/>
      </rPr>
      <t>durch Jugendamt</t>
    </r>
    <r>
      <rPr>
        <b/>
        <sz val="18"/>
        <rFont val="Arial"/>
        <family val="2"/>
      </rPr>
      <t xml:space="preserve">, </t>
    </r>
    <r>
      <rPr>
        <sz val="18"/>
        <rFont val="Arial"/>
        <family val="2"/>
      </rPr>
      <t xml:space="preserve">§ 23 Abs. 2 Nr. 4 SGB VIII (Art. 1 Ziffer 5 KiföG) </t>
    </r>
  </si>
  <si>
    <t>Anteil KV (1/2 der tatsächlichen Kosten) Steuerfrei</t>
  </si>
  <si>
    <t>Anteil PV (1/2 der tatsächlichen Kosten) Steuerfrei</t>
  </si>
  <si>
    <t>BGW Unfallvers. Steuerfrei</t>
  </si>
  <si>
    <r>
      <t xml:space="preserve">Ø </t>
    </r>
    <r>
      <rPr>
        <b/>
        <sz val="18"/>
        <rFont val="Arial"/>
        <family val="2"/>
      </rPr>
      <t>Erstattungen</t>
    </r>
    <r>
      <rPr>
        <sz val="18"/>
        <rFont val="Arial"/>
        <family val="2"/>
      </rPr>
      <t xml:space="preserve"> der Aufwendungen durch die örtlichen Träger der öffentlichen Jugendhilfe nach § 23 Abs. 2 Nr. 3, 4 SGB VIII (Unfallversicherung, Alterssicherung, Krankenversicherung, Pflegeversicherung) </t>
    </r>
    <r>
      <rPr>
        <b/>
        <sz val="18"/>
        <rFont val="Arial"/>
        <family val="2"/>
      </rPr>
      <t>sind</t>
    </r>
    <r>
      <rPr>
        <sz val="18"/>
        <rFont val="Arial"/>
        <family val="2"/>
      </rPr>
      <t xml:space="preserve"> E</t>
    </r>
    <r>
      <rPr>
        <b/>
        <sz val="18"/>
        <rFont val="Arial"/>
        <family val="2"/>
      </rPr>
      <t>inkommensteuer frei</t>
    </r>
    <r>
      <rPr>
        <sz val="18"/>
        <rFont val="Arial"/>
        <family val="2"/>
      </rPr>
      <t xml:space="preserve">, §§ 3 Nr. 9, 10 Abs. 4 Satz 2 EStG (Art. 3b KiföG) </t>
    </r>
  </si>
  <si>
    <t>Steuerbelastung Grundtarif</t>
  </si>
  <si>
    <t>Alleinstehende</t>
  </si>
  <si>
    <t>pr. Monat</t>
  </si>
  <si>
    <t>Verheiratete</t>
  </si>
  <si>
    <t>Steuergrenzen</t>
  </si>
  <si>
    <t>Jahressteuerbetrag</t>
  </si>
  <si>
    <t>Krankenversicherung</t>
  </si>
  <si>
    <t>Kv</t>
  </si>
  <si>
    <t>Pflegeversicherung</t>
  </si>
  <si>
    <t>Monat:</t>
  </si>
  <si>
    <t>Sachleistung</t>
  </si>
  <si>
    <t xml:space="preserve">Umsatz </t>
  </si>
  <si>
    <t>ca.2,05%</t>
  </si>
  <si>
    <t>BGW Unfallversicherung Eigenanteil</t>
  </si>
  <si>
    <t>Zur Verfügung stehende Einnahmen inkl. Sachaufwand</t>
  </si>
  <si>
    <t>Nettoverdienst / Gewinn nach Steuer</t>
  </si>
  <si>
    <t>Zwischensumme</t>
  </si>
  <si>
    <t>Sonderauszahlung Randzeiten</t>
  </si>
  <si>
    <t>Steuersatz linear 14-24% bzw. 24-42%</t>
  </si>
  <si>
    <t>Stunden/    Woche</t>
  </si>
  <si>
    <t>maxial enthaltene Landesförderung</t>
  </si>
  <si>
    <t xml:space="preserve">enthaltene   Sachleistung   40% </t>
  </si>
  <si>
    <t>Kind aus anderen Kommunen</t>
  </si>
  <si>
    <t>Kostenbeitrag Eltern</t>
  </si>
  <si>
    <t>Kind aus Offenbach</t>
  </si>
  <si>
    <t>Seite 1: Monatsübersicht zur Vorlage bei Finanzämtern und Sozialversicherungskassen sowie zur eigenen Verwendung</t>
  </si>
  <si>
    <t>Seite 2: Monatsübersicht der Gewinnermittlung zur eigenen Verwendung und EKO</t>
  </si>
  <si>
    <t>WENN(C17&lt;15,01;226;WENN(UND(C17&gt;=15,01;C17&lt;25,01);261;WENN(UND(C17&gt;=25,01;C17&lt;35,01);342;WENN(UND(C17&lt;45,01);472;653))))</t>
  </si>
  <si>
    <t>Landesförderung/ Besonderheiten</t>
  </si>
  <si>
    <t>MusterTP                       Musterstraße                    Musterort</t>
  </si>
  <si>
    <t xml:space="preserve">Zahlung durch JA  </t>
  </si>
  <si>
    <t xml:space="preserve">enthaltene   Sachleistung </t>
  </si>
  <si>
    <t xml:space="preserve">eSK = Ausstattungs- und Versorgungsaufwand der Kinder </t>
  </si>
  <si>
    <t xml:space="preserve"> "Gelbe Zellen" können ausgefüllt werden</t>
  </si>
  <si>
    <t>(max.) enthalten Landesfördermittel</t>
  </si>
  <si>
    <t xml:space="preserve">                                                                                                                                                                                                                                       Zuschlag von 0,50 € pro Stunde zu folgenden Betreuungszeiten:  
Montags bis freitags: Frühdienst von 05:00 Uhr bis 07:00 Uhr, Spätdienst von 17:00 Uhr bis 23:00 Uhr 
sowie Samstags, sonntags und an Feiertagen von 5:00 Uhr bis 23:00 Uhr .
</t>
  </si>
  <si>
    <t>BKP = Ausstattungs- und Versorgungsaufwand der Kinder (Steuerfrei)</t>
  </si>
  <si>
    <t>Vgl-Summe Gewinn nach Steuer laut  BKP</t>
  </si>
  <si>
    <t>Berechnung ab 01/2023</t>
  </si>
  <si>
    <t>RV                           (1/2 Regel. 315,74 €)</t>
  </si>
  <si>
    <t>ca. (18,6 % vom Gewinn)</t>
  </si>
  <si>
    <t>Der § 165 SGB VI definiert die beitragspflichtigen Einnahmen selbständig Tätiger.</t>
  </si>
  <si>
    <t>Beitragspflichtige Einnahmen sind bei selbständig Tätigen bis zum Ablauf von drei Kalenderjahren nach dem Jahr der Aufnahme der selbständigen Tätigkeit ein Arbeitseinkommen in Höhe von 50 vom Hundert der Bezugsgröße, auf Antrag des Versicherten jedoch ein Arbeitseinkommen in Höhe der Bezugsgröße. Für den Nachweis des von der Bezugsgröße abweichenden Arbeitseinkommens sind die sich aus dem letzten Einkommensteuerbescheid für das zeitnaheste Kalenderjahr ergebenden Einkünfte aus der versicherungspflichtigen selbständigen Tätigkeit so lange maßgebend, bis ein neuer Einkommensteuerbescheid vorgelegt wird.</t>
  </si>
  <si>
    <t>Renten­versicherung selbständig Tätiger</t>
  </si>
  <si>
    <t>Beitrags­satz</t>
  </si>
  <si>
    <t>Alte Bundesländer</t>
  </si>
  <si>
    <t>Neue Bundesländer</t>
  </si>
  <si>
    <t>Bezugs­größe</t>
  </si>
  <si>
    <t>Halber Regel­beitrag</t>
  </si>
  <si>
    <t>Regel­beitrag</t>
  </si>
  <si>
    <t>3.290 € monatlich</t>
  </si>
  <si>
    <t>305,97 €</t>
  </si>
  <si>
    <t>611,94 €</t>
  </si>
  <si>
    <t>3.150 € monatlich</t>
  </si>
  <si>
    <t>292,95 €</t>
  </si>
  <si>
    <t>585,90 €</t>
  </si>
  <si>
    <t>3.395 € monatlich</t>
  </si>
  <si>
    <t>315,74 €</t>
  </si>
  <si>
    <t>631,48 €</t>
  </si>
  <si>
    <t>Es können auch niedrigere oder höhere Beiträge als der Regelbeitrag gezahlt werden, wenn ein abweichendes Arbeitseinkommen anhand des letzten Einkommensteuerbescheides nachgewiesen wurde.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</si>
</sst>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quot; €&quot;"/>
    <numFmt numFmtId="165" formatCode="#,##0.00\ &quot;€&quot;"/>
    <numFmt numFmtId="166" formatCode="[$-407]mmm/\ yy;@"/>
    <numFmt numFmtId="167" formatCode="#,##0\ &quot;€&quot;"/>
  </numFmts>
  <fonts count="35" x14ac:knownFonts="1">
    <font>
      <sz val="10"/>
      <name val="Arial"/>
      <family val="2"/>
    </font>
    <font>
      <sz val="18"/>
      <name val="Arial"/>
      <family val="2"/>
    </font>
    <font>
      <b/>
      <sz val="18"/>
      <name val="Arial"/>
      <family val="2"/>
    </font>
    <font>
      <b/>
      <sz val="14"/>
      <name val="Arial"/>
      <family val="2"/>
    </font>
    <font>
      <sz val="18"/>
      <color indexed="9"/>
      <name val="Arial"/>
      <family val="2"/>
    </font>
    <font>
      <sz val="10"/>
      <color indexed="9"/>
      <name val="Arial"/>
      <family val="2"/>
    </font>
    <font>
      <sz val="18"/>
      <name val="Wingdings"/>
      <charset val="2"/>
    </font>
    <font>
      <sz val="22"/>
      <name val="Arial"/>
      <family val="2"/>
    </font>
    <font>
      <b/>
      <sz val="22"/>
      <name val="Arial"/>
      <family val="2"/>
    </font>
    <font>
      <b/>
      <sz val="22"/>
      <color indexed="9"/>
      <name val="Arial"/>
      <family val="2"/>
    </font>
    <font>
      <sz val="8"/>
      <name val="Arial"/>
      <family val="2"/>
    </font>
    <font>
      <b/>
      <sz val="10"/>
      <color indexed="81"/>
      <name val="Tahoma"/>
      <family val="2"/>
    </font>
    <font>
      <sz val="14"/>
      <name val="Arial"/>
      <family val="2"/>
    </font>
    <font>
      <b/>
      <sz val="12"/>
      <name val="Arial"/>
      <family val="2"/>
    </font>
    <font>
      <sz val="18"/>
      <color indexed="10"/>
      <name val="Arial"/>
      <family val="2"/>
    </font>
    <font>
      <b/>
      <sz val="16"/>
      <name val="Arial"/>
      <family val="2"/>
    </font>
    <font>
      <b/>
      <sz val="16"/>
      <color indexed="9"/>
      <name val="Arial"/>
      <family val="2"/>
    </font>
    <font>
      <sz val="10"/>
      <color indexed="81"/>
      <name val="Tahoma"/>
      <family val="2"/>
    </font>
    <font>
      <sz val="16"/>
      <name val="Arial"/>
      <family val="2"/>
    </font>
    <font>
      <b/>
      <sz val="10"/>
      <color indexed="8"/>
      <name val="Arial"/>
      <family val="2"/>
    </font>
    <font>
      <sz val="12"/>
      <name val="Arial"/>
      <family val="2"/>
    </font>
    <font>
      <sz val="18"/>
      <color theme="0"/>
      <name val="Arial"/>
      <family val="2"/>
    </font>
    <font>
      <b/>
      <sz val="18"/>
      <color theme="0"/>
      <name val="Arial"/>
      <family val="2"/>
    </font>
    <font>
      <sz val="10"/>
      <color theme="0"/>
      <name val="Arial"/>
      <family val="2"/>
    </font>
    <font>
      <sz val="16"/>
      <color indexed="9"/>
      <name val="Arial"/>
      <family val="2"/>
    </font>
    <font>
      <sz val="14"/>
      <color theme="0"/>
      <name val="Arial"/>
      <family val="2"/>
    </font>
    <font>
      <sz val="11"/>
      <color indexed="8"/>
      <name val="Arial"/>
      <family val="2"/>
    </font>
    <font>
      <sz val="16"/>
      <color theme="0"/>
      <name val="Arial"/>
      <family val="2"/>
    </font>
    <font>
      <sz val="10"/>
      <color rgb="FFFF0000"/>
      <name val="Arial"/>
      <family val="2"/>
    </font>
    <font>
      <b/>
      <sz val="16"/>
      <color rgb="FFFF0000"/>
      <name val="Arial"/>
      <family val="2"/>
    </font>
    <font>
      <b/>
      <sz val="22"/>
      <color theme="0"/>
      <name val="Arial"/>
      <family val="2"/>
    </font>
    <font>
      <sz val="9"/>
      <color indexed="81"/>
      <name val="Tahoma"/>
      <family val="2"/>
    </font>
    <font>
      <b/>
      <sz val="9"/>
      <color indexed="81"/>
      <name val="Tahoma"/>
      <family val="2"/>
    </font>
    <font>
      <b/>
      <sz val="10"/>
      <color indexed="81"/>
      <name val="Arial"/>
      <family val="2"/>
    </font>
    <font>
      <sz val="10"/>
      <color indexed="81"/>
      <name val="Arial"/>
      <family val="2"/>
    </font>
  </fonts>
  <fills count="13">
    <fill>
      <patternFill patternType="none"/>
    </fill>
    <fill>
      <patternFill patternType="gray125"/>
    </fill>
    <fill>
      <patternFill patternType="solid">
        <fgColor indexed="13"/>
        <bgColor indexed="34"/>
      </patternFill>
    </fill>
    <fill>
      <patternFill patternType="solid">
        <fgColor indexed="22"/>
        <bgColor indexed="31"/>
      </patternFill>
    </fill>
    <fill>
      <patternFill patternType="solid">
        <fgColor indexed="11"/>
        <bgColor indexed="49"/>
      </patternFill>
    </fill>
    <fill>
      <patternFill patternType="solid">
        <fgColor indexed="10"/>
        <bgColor indexed="60"/>
      </patternFill>
    </fill>
    <fill>
      <patternFill patternType="solid">
        <fgColor indexed="13"/>
        <bgColor indexed="64"/>
      </patternFill>
    </fill>
    <fill>
      <patternFill patternType="solid">
        <fgColor indexed="53"/>
        <bgColor indexed="29"/>
      </patternFill>
    </fill>
    <fill>
      <patternFill patternType="solid">
        <fgColor indexed="44"/>
        <bgColor indexed="31"/>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29"/>
      </patternFill>
    </fill>
    <fill>
      <patternFill patternType="solid">
        <fgColor theme="0" tint="-4.9989318521683403E-2"/>
        <bgColor indexed="49"/>
      </patternFill>
    </fill>
  </fills>
  <borders count="38">
    <border>
      <left/>
      <right/>
      <top/>
      <bottom/>
      <diagonal/>
    </border>
    <border>
      <left style="medium">
        <color indexed="8"/>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1">
    <xf numFmtId="0" fontId="0" fillId="0" borderId="0" xfId="0"/>
    <xf numFmtId="0" fontId="1" fillId="6" borderId="2" xfId="0" applyFont="1" applyFill="1" applyBorder="1" applyAlignment="1" applyProtection="1">
      <alignment horizontal="center"/>
      <protection locked="0"/>
    </xf>
    <xf numFmtId="0" fontId="2" fillId="4" borderId="2" xfId="0" applyFont="1" applyFill="1" applyBorder="1" applyAlignment="1" applyProtection="1">
      <alignment horizontal="center" vertical="center"/>
      <protection hidden="1"/>
    </xf>
    <xf numFmtId="0" fontId="15" fillId="7" borderId="2" xfId="0" applyFont="1" applyFill="1" applyBorder="1" applyAlignment="1" applyProtection="1">
      <alignment horizontal="center" vertical="center" wrapText="1"/>
      <protection hidden="1"/>
    </xf>
    <xf numFmtId="0" fontId="15" fillId="7" borderId="5" xfId="0" applyFont="1" applyFill="1" applyBorder="1" applyAlignment="1" applyProtection="1">
      <alignment horizontal="center" vertical="center" wrapText="1"/>
      <protection hidden="1"/>
    </xf>
    <xf numFmtId="0" fontId="1" fillId="0" borderId="15" xfId="0" applyFont="1" applyBorder="1" applyProtection="1">
      <protection hidden="1"/>
    </xf>
    <xf numFmtId="0" fontId="15" fillId="4" borderId="15" xfId="0" applyFont="1" applyFill="1" applyBorder="1" applyAlignment="1" applyProtection="1">
      <alignment horizontal="center" vertical="center"/>
      <protection hidden="1"/>
    </xf>
    <xf numFmtId="0" fontId="1" fillId="6" borderId="5" xfId="0" applyFont="1" applyFill="1" applyBorder="1" applyAlignment="1" applyProtection="1">
      <alignment horizontal="center"/>
      <protection locked="0"/>
    </xf>
    <xf numFmtId="0" fontId="1" fillId="6" borderId="14" xfId="0" applyFont="1" applyFill="1" applyBorder="1" applyAlignment="1" applyProtection="1">
      <alignment horizontal="center"/>
      <protection locked="0"/>
    </xf>
    <xf numFmtId="165" fontId="12" fillId="6" borderId="14" xfId="0" applyNumberFormat="1" applyFont="1" applyFill="1" applyBorder="1" applyAlignment="1" applyProtection="1">
      <alignment horizontal="center"/>
      <protection locked="0"/>
    </xf>
    <xf numFmtId="0" fontId="5" fillId="0" borderId="0" xfId="0" applyFont="1" applyProtection="1">
      <protection hidden="1"/>
    </xf>
    <xf numFmtId="0" fontId="0" fillId="0" borderId="0" xfId="0" applyFont="1" applyProtection="1">
      <protection hidden="1"/>
    </xf>
    <xf numFmtId="0" fontId="1" fillId="10" borderId="0" xfId="0" applyFont="1" applyFill="1" applyBorder="1" applyAlignment="1" applyProtection="1">
      <alignment horizontal="center"/>
      <protection hidden="1"/>
    </xf>
    <xf numFmtId="0" fontId="1" fillId="10" borderId="0" xfId="0" applyFont="1" applyFill="1" applyBorder="1" applyProtection="1">
      <protection hidden="1"/>
    </xf>
    <xf numFmtId="0" fontId="3" fillId="10" borderId="0" xfId="0" applyFont="1" applyFill="1" applyBorder="1" applyAlignment="1" applyProtection="1">
      <alignment horizontal="center"/>
      <protection hidden="1"/>
    </xf>
    <xf numFmtId="10" fontId="1" fillId="10" borderId="0" xfId="0" applyNumberFormat="1" applyFont="1" applyFill="1" applyBorder="1" applyProtection="1">
      <protection hidden="1"/>
    </xf>
    <xf numFmtId="2" fontId="4" fillId="0" borderId="0" xfId="0" applyNumberFormat="1" applyFont="1" applyBorder="1" applyProtection="1">
      <protection hidden="1"/>
    </xf>
    <xf numFmtId="0" fontId="15" fillId="0" borderId="2" xfId="0" applyFont="1" applyBorder="1" applyAlignment="1" applyProtection="1">
      <alignment horizontal="center" vertical="center" wrapText="1"/>
      <protection hidden="1"/>
    </xf>
    <xf numFmtId="0" fontId="20" fillId="0" borderId="2" xfId="0" applyFont="1" applyBorder="1" applyAlignment="1" applyProtection="1">
      <alignment horizontal="center"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vertical="center" wrapText="1"/>
      <protection hidden="1"/>
    </xf>
    <xf numFmtId="0" fontId="0" fillId="0" borderId="0" xfId="0" applyFont="1" applyAlignment="1" applyProtection="1">
      <alignment vertical="center" wrapText="1"/>
      <protection hidden="1"/>
    </xf>
    <xf numFmtId="0" fontId="1" fillId="0" borderId="3" xfId="0" applyFont="1" applyBorder="1" applyAlignment="1" applyProtection="1">
      <alignment horizontal="center"/>
      <protection hidden="1"/>
    </xf>
    <xf numFmtId="167" fontId="12" fillId="0" borderId="12" xfId="0" applyNumberFormat="1" applyFont="1" applyBorder="1" applyAlignment="1" applyProtection="1">
      <alignment horizontal="center"/>
      <protection hidden="1"/>
    </xf>
    <xf numFmtId="164" fontId="1" fillId="0" borderId="2" xfId="0" applyNumberFormat="1" applyFont="1" applyBorder="1" applyAlignment="1" applyProtection="1">
      <alignment horizontal="center"/>
      <protection hidden="1"/>
    </xf>
    <xf numFmtId="164" fontId="12" fillId="0" borderId="2" xfId="0" applyNumberFormat="1" applyFont="1" applyBorder="1" applyAlignment="1" applyProtection="1">
      <alignment horizontal="center"/>
      <protection hidden="1"/>
    </xf>
    <xf numFmtId="2" fontId="1" fillId="0" borderId="4" xfId="0" applyNumberFormat="1" applyFont="1" applyBorder="1" applyAlignment="1" applyProtection="1">
      <alignment horizontal="center"/>
      <protection hidden="1"/>
    </xf>
    <xf numFmtId="10" fontId="1" fillId="0" borderId="2" xfId="0" applyNumberFormat="1" applyFont="1" applyBorder="1" applyProtection="1">
      <protection hidden="1"/>
    </xf>
    <xf numFmtId="164" fontId="4" fillId="0" borderId="0" xfId="0" applyNumberFormat="1" applyFont="1" applyBorder="1" applyProtection="1">
      <protection hidden="1"/>
    </xf>
    <xf numFmtId="0" fontId="1" fillId="0" borderId="26" xfId="0" applyFont="1" applyBorder="1" applyAlignment="1" applyProtection="1">
      <alignment horizontal="center"/>
      <protection hidden="1"/>
    </xf>
    <xf numFmtId="167" fontId="12" fillId="0" borderId="27" xfId="0" applyNumberFormat="1" applyFont="1" applyBorder="1" applyAlignment="1" applyProtection="1">
      <alignment horizontal="center"/>
      <protection hidden="1"/>
    </xf>
    <xf numFmtId="2" fontId="1" fillId="0" borderId="11" xfId="0" applyNumberFormat="1" applyFont="1" applyBorder="1" applyAlignment="1" applyProtection="1">
      <alignment horizontal="center"/>
      <protection hidden="1"/>
    </xf>
    <xf numFmtId="10" fontId="1" fillId="0" borderId="5" xfId="0" applyNumberFormat="1" applyFont="1" applyBorder="1" applyProtection="1">
      <protection hidden="1"/>
    </xf>
    <xf numFmtId="0" fontId="18" fillId="10" borderId="28" xfId="0" applyFont="1" applyFill="1" applyBorder="1" applyAlignment="1" applyProtection="1">
      <alignment horizontal="left"/>
      <protection hidden="1"/>
    </xf>
    <xf numFmtId="167" fontId="18" fillId="10" borderId="29" xfId="0" applyNumberFormat="1" applyFont="1" applyFill="1" applyBorder="1" applyAlignment="1" applyProtection="1">
      <alignment horizontal="center"/>
      <protection hidden="1"/>
    </xf>
    <xf numFmtId="0" fontId="18" fillId="10" borderId="29" xfId="0" applyFont="1" applyFill="1" applyBorder="1" applyAlignment="1" applyProtection="1">
      <alignment horizontal="center"/>
      <protection hidden="1"/>
    </xf>
    <xf numFmtId="164" fontId="18" fillId="10" borderId="29" xfId="0" applyNumberFormat="1" applyFont="1" applyFill="1" applyBorder="1" applyAlignment="1" applyProtection="1">
      <alignment horizontal="center"/>
      <protection hidden="1"/>
    </xf>
    <xf numFmtId="10" fontId="18" fillId="10" borderId="16" xfId="0" applyNumberFormat="1" applyFont="1" applyFill="1" applyBorder="1" applyProtection="1">
      <protection hidden="1"/>
    </xf>
    <xf numFmtId="164" fontId="24" fillId="0" borderId="0" xfId="0" applyNumberFormat="1" applyFont="1" applyBorder="1" applyProtection="1">
      <protection hidden="1"/>
    </xf>
    <xf numFmtId="0" fontId="18" fillId="0" borderId="0" xfId="0" applyFont="1" applyProtection="1">
      <protection hidden="1"/>
    </xf>
    <xf numFmtId="0" fontId="1" fillId="0" borderId="13" xfId="0" applyFont="1" applyBorder="1" applyAlignment="1" applyProtection="1">
      <alignment horizontal="center"/>
      <protection hidden="1"/>
    </xf>
    <xf numFmtId="2" fontId="1" fillId="0" borderId="8" xfId="0" applyNumberFormat="1" applyFont="1" applyBorder="1" applyAlignment="1" applyProtection="1">
      <alignment horizontal="center"/>
      <protection hidden="1"/>
    </xf>
    <xf numFmtId="10" fontId="1" fillId="0" borderId="14" xfId="0" applyNumberFormat="1" applyFont="1" applyBorder="1" applyProtection="1">
      <protection hidden="1"/>
    </xf>
    <xf numFmtId="167" fontId="12" fillId="0" borderId="10" xfId="0" applyNumberFormat="1" applyFont="1" applyBorder="1" applyAlignment="1" applyProtection="1">
      <alignment horizontal="center"/>
      <protection hidden="1"/>
    </xf>
    <xf numFmtId="0" fontId="2" fillId="3" borderId="14" xfId="0" applyFont="1" applyFill="1" applyBorder="1" applyAlignment="1" applyProtection="1">
      <alignment horizontal="center"/>
      <protection hidden="1"/>
    </xf>
    <xf numFmtId="164" fontId="2" fillId="0" borderId="4" xfId="0" applyNumberFormat="1" applyFont="1" applyBorder="1" applyAlignment="1" applyProtection="1">
      <alignment horizontal="center"/>
      <protection hidden="1"/>
    </xf>
    <xf numFmtId="164" fontId="12" fillId="0" borderId="4" xfId="0" applyNumberFormat="1" applyFont="1" applyBorder="1" applyAlignment="1" applyProtection="1">
      <alignment horizontal="center"/>
      <protection hidden="1"/>
    </xf>
    <xf numFmtId="164" fontId="2" fillId="0" borderId="15" xfId="0" applyNumberFormat="1" applyFont="1" applyBorder="1" applyAlignment="1" applyProtection="1">
      <alignment horizontal="center"/>
      <protection hidden="1"/>
    </xf>
    <xf numFmtId="164" fontId="2" fillId="0" borderId="12" xfId="0" applyNumberFormat="1" applyFont="1" applyBorder="1" applyAlignment="1" applyProtection="1">
      <alignment horizontal="center"/>
      <protection hidden="1"/>
    </xf>
    <xf numFmtId="164" fontId="1" fillId="0" borderId="2" xfId="0" applyNumberFormat="1" applyFont="1" applyBorder="1" applyProtection="1">
      <protection hidden="1"/>
    </xf>
    <xf numFmtId="0" fontId="0" fillId="0" borderId="0" xfId="0" applyFont="1" applyAlignment="1" applyProtection="1">
      <alignment horizontal="center"/>
      <protection hidden="1"/>
    </xf>
    <xf numFmtId="164" fontId="1" fillId="0" borderId="4" xfId="0" applyNumberFormat="1" applyFont="1" applyBorder="1" applyProtection="1">
      <protection hidden="1"/>
    </xf>
    <xf numFmtId="0" fontId="18" fillId="0" borderId="15" xfId="0" applyFont="1" applyBorder="1" applyProtection="1">
      <protection hidden="1"/>
    </xf>
    <xf numFmtId="0" fontId="21" fillId="0" borderId="0" xfId="0" applyFont="1" applyBorder="1" applyProtection="1">
      <protection hidden="1"/>
    </xf>
    <xf numFmtId="0" fontId="23" fillId="0" borderId="0" xfId="0" applyFont="1" applyProtection="1">
      <protection hidden="1"/>
    </xf>
    <xf numFmtId="0" fontId="21" fillId="0" borderId="0" xfId="0" applyFont="1" applyFill="1" applyBorder="1" applyProtection="1">
      <protection hidden="1"/>
    </xf>
    <xf numFmtId="164" fontId="2" fillId="0" borderId="4" xfId="0" applyNumberFormat="1" applyFont="1" applyFill="1" applyBorder="1" applyProtection="1">
      <protection hidden="1"/>
    </xf>
    <xf numFmtId="0" fontId="22" fillId="0" borderId="0" xfId="0" applyFont="1" applyFill="1" applyBorder="1" applyAlignment="1" applyProtection="1">
      <alignment horizontal="center" vertical="center" wrapText="1"/>
      <protection hidden="1"/>
    </xf>
    <xf numFmtId="0" fontId="23" fillId="0" borderId="0" xfId="0" applyFont="1" applyFill="1" applyProtection="1">
      <protection hidden="1"/>
    </xf>
    <xf numFmtId="0" fontId="18" fillId="0" borderId="2" xfId="0" applyFont="1" applyBorder="1" applyProtection="1">
      <protection hidden="1"/>
    </xf>
    <xf numFmtId="164" fontId="2" fillId="0" borderId="2" xfId="0" applyNumberFormat="1" applyFont="1" applyBorder="1" applyProtection="1">
      <protection hidden="1"/>
    </xf>
    <xf numFmtId="0" fontId="14" fillId="0" borderId="0" xfId="0" applyFont="1" applyFill="1" applyBorder="1" applyProtection="1">
      <protection hidden="1"/>
    </xf>
    <xf numFmtId="164" fontId="23" fillId="0" borderId="0" xfId="0" applyNumberFormat="1" applyFont="1" applyFill="1" applyAlignment="1" applyProtection="1">
      <alignment horizontal="center"/>
      <protection hidden="1"/>
    </xf>
    <xf numFmtId="0" fontId="1" fillId="0" borderId="0" xfId="0" applyFont="1" applyFill="1" applyBorder="1" applyProtection="1">
      <protection hidden="1"/>
    </xf>
    <xf numFmtId="0" fontId="1" fillId="0" borderId="0" xfId="0" applyFont="1" applyBorder="1" applyProtection="1">
      <protection hidden="1"/>
    </xf>
    <xf numFmtId="0" fontId="2" fillId="0" borderId="0" xfId="0" applyFont="1" applyBorder="1" applyProtection="1">
      <protection hidden="1"/>
    </xf>
    <xf numFmtId="0" fontId="1"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164" fontId="2" fillId="0" borderId="2" xfId="0" applyNumberFormat="1" applyFont="1" applyFill="1" applyBorder="1" applyProtection="1">
      <protection hidden="1"/>
    </xf>
    <xf numFmtId="0" fontId="23" fillId="0" borderId="0" xfId="0" applyFont="1" applyBorder="1" applyAlignment="1" applyProtection="1">
      <alignment horizontal="center"/>
      <protection hidden="1"/>
    </xf>
    <xf numFmtId="164" fontId="25" fillId="0" borderId="0" xfId="0" applyNumberFormat="1" applyFont="1" applyBorder="1" applyProtection="1">
      <protection hidden="1"/>
    </xf>
    <xf numFmtId="164" fontId="18" fillId="0" borderId="15" xfId="0" applyNumberFormat="1" applyFont="1" applyBorder="1" applyProtection="1">
      <protection hidden="1"/>
    </xf>
    <xf numFmtId="164" fontId="2" fillId="2" borderId="15" xfId="0" applyNumberFormat="1" applyFont="1" applyFill="1" applyBorder="1" applyProtection="1">
      <protection hidden="1"/>
    </xf>
    <xf numFmtId="0" fontId="1" fillId="10" borderId="1" xfId="0" applyFont="1" applyFill="1" applyBorder="1" applyAlignment="1" applyProtection="1">
      <alignment horizontal="left"/>
      <protection hidden="1"/>
    </xf>
    <xf numFmtId="0" fontId="0" fillId="0" borderId="0" xfId="0" applyFont="1" applyAlignment="1" applyProtection="1">
      <alignment vertical="center"/>
      <protection hidden="1"/>
    </xf>
    <xf numFmtId="166" fontId="15" fillId="0" borderId="0" xfId="0" applyNumberFormat="1" applyFont="1" applyAlignment="1" applyProtection="1">
      <alignment vertical="center"/>
      <protection hidden="1"/>
    </xf>
    <xf numFmtId="0" fontId="0" fillId="0" borderId="0" xfId="0" applyFont="1" applyAlignment="1" applyProtection="1">
      <alignment wrapText="1"/>
      <protection hidden="1"/>
    </xf>
    <xf numFmtId="0" fontId="20" fillId="10" borderId="29" xfId="0" applyFont="1" applyFill="1" applyBorder="1" applyAlignment="1" applyProtection="1">
      <alignment horizontal="center" vertical="center" wrapText="1"/>
      <protection hidden="1"/>
    </xf>
    <xf numFmtId="165" fontId="12" fillId="6" borderId="14" xfId="0" applyNumberFormat="1" applyFont="1" applyFill="1" applyBorder="1" applyAlignment="1" applyProtection="1">
      <alignment horizontal="center" wrapText="1"/>
      <protection locked="0"/>
    </xf>
    <xf numFmtId="0" fontId="27" fillId="0" borderId="0" xfId="0" applyFont="1" applyProtection="1">
      <protection hidden="1"/>
    </xf>
    <xf numFmtId="0" fontId="28" fillId="0" borderId="0" xfId="0" applyFont="1" applyProtection="1">
      <protection hidden="1"/>
    </xf>
    <xf numFmtId="0" fontId="29" fillId="0" borderId="0" xfId="0" applyFont="1" applyAlignment="1" applyProtection="1">
      <alignment vertical="center"/>
      <protection hidden="1"/>
    </xf>
    <xf numFmtId="0" fontId="6" fillId="0" borderId="0" xfId="0" applyFont="1" applyBorder="1" applyAlignment="1" applyProtection="1">
      <alignment horizontal="center" vertical="center" wrapText="1"/>
      <protection hidden="1"/>
    </xf>
    <xf numFmtId="0" fontId="13" fillId="0" borderId="2" xfId="0" applyFont="1" applyBorder="1" applyAlignment="1" applyProtection="1">
      <alignment horizontal="center" vertical="center" wrapText="1"/>
      <protection hidden="1"/>
    </xf>
    <xf numFmtId="164" fontId="3" fillId="0" borderId="4" xfId="0" applyNumberFormat="1" applyFont="1" applyBorder="1" applyAlignment="1" applyProtection="1">
      <alignment horizontal="center"/>
      <protection hidden="1"/>
    </xf>
    <xf numFmtId="0" fontId="23" fillId="0" borderId="0" xfId="0" applyFont="1" applyBorder="1" applyProtection="1">
      <protection hidden="1"/>
    </xf>
    <xf numFmtId="10" fontId="21" fillId="0" borderId="0" xfId="0" applyNumberFormat="1" applyFont="1" applyBorder="1" applyProtection="1">
      <protection hidden="1"/>
    </xf>
    <xf numFmtId="165" fontId="20" fillId="0" borderId="36" xfId="0" applyNumberFormat="1" applyFont="1" applyFill="1" applyBorder="1" applyAlignment="1" applyProtection="1">
      <alignment horizontal="center" vertical="center" wrapText="1"/>
      <protection hidden="1"/>
    </xf>
    <xf numFmtId="166" fontId="1" fillId="6" borderId="37" xfId="0" applyNumberFormat="1" applyFont="1" applyFill="1" applyBorder="1" applyAlignment="1" applyProtection="1">
      <alignment vertical="center"/>
      <protection locked="0"/>
    </xf>
    <xf numFmtId="0" fontId="12" fillId="6" borderId="34" xfId="0" applyFont="1" applyFill="1" applyBorder="1" applyAlignment="1" applyProtection="1">
      <alignment horizontal="left" vertical="top" wrapText="1"/>
      <protection locked="0"/>
    </xf>
    <xf numFmtId="165" fontId="20" fillId="9" borderId="34" xfId="0" applyNumberFormat="1" applyFont="1" applyFill="1" applyBorder="1" applyAlignment="1" applyProtection="1">
      <alignment horizontal="center" vertical="center" wrapText="1"/>
      <protection hidden="1"/>
    </xf>
    <xf numFmtId="0" fontId="1" fillId="0" borderId="34" xfId="0" applyFont="1" applyBorder="1" applyAlignment="1" applyProtection="1">
      <alignment horizontal="right" vertical="center"/>
      <protection hidden="1"/>
    </xf>
    <xf numFmtId="164" fontId="0" fillId="0" borderId="0" xfId="0" applyNumberFormat="1" applyFont="1" applyProtection="1">
      <protection hidden="1"/>
    </xf>
    <xf numFmtId="0" fontId="20" fillId="0" borderId="15" xfId="0" applyFont="1" applyBorder="1" applyAlignment="1" applyProtection="1">
      <alignment horizontal="center" wrapText="1"/>
      <protection hidden="1"/>
    </xf>
    <xf numFmtId="164" fontId="20" fillId="0" borderId="15" xfId="0" applyNumberFormat="1" applyFont="1" applyBorder="1" applyProtection="1">
      <protection hidden="1"/>
    </xf>
    <xf numFmtId="164" fontId="13" fillId="0" borderId="15" xfId="0" applyNumberFormat="1" applyFont="1" applyFill="1" applyBorder="1" applyProtection="1">
      <protection hidden="1"/>
    </xf>
    <xf numFmtId="0" fontId="20" fillId="11" borderId="9" xfId="0" applyFont="1" applyFill="1" applyBorder="1" applyAlignment="1" applyProtection="1">
      <alignment horizontal="center" vertical="center" wrapText="1"/>
      <protection hidden="1"/>
    </xf>
    <xf numFmtId="0" fontId="20" fillId="11" borderId="10" xfId="0" applyFont="1" applyFill="1" applyBorder="1" applyAlignment="1" applyProtection="1">
      <alignment horizontal="center" vertical="center" wrapText="1"/>
      <protection hidden="1"/>
    </xf>
    <xf numFmtId="164" fontId="1" fillId="9" borderId="24" xfId="0" applyNumberFormat="1" applyFont="1" applyFill="1" applyBorder="1" applyAlignment="1" applyProtection="1">
      <alignment horizontal="center" vertical="center"/>
      <protection locked="0"/>
    </xf>
    <xf numFmtId="164" fontId="1" fillId="9" borderId="25" xfId="0" applyNumberFormat="1" applyFont="1" applyFill="1" applyBorder="1" applyAlignment="1" applyProtection="1">
      <alignment horizontal="center" vertical="center"/>
      <protection locked="0"/>
    </xf>
    <xf numFmtId="0" fontId="26" fillId="0" borderId="30" xfId="0" applyFont="1" applyFill="1" applyBorder="1" applyAlignment="1" applyProtection="1">
      <alignment horizontal="center" vertical="center" wrapText="1"/>
      <protection hidden="1"/>
    </xf>
    <xf numFmtId="0" fontId="26" fillId="0" borderId="31" xfId="0" applyFont="1" applyFill="1" applyBorder="1" applyAlignment="1" applyProtection="1">
      <alignment horizontal="center" vertical="center" wrapText="1"/>
      <protection hidden="1"/>
    </xf>
    <xf numFmtId="0" fontId="19" fillId="0" borderId="31" xfId="0" applyFont="1" applyFill="1" applyBorder="1" applyAlignment="1" applyProtection="1">
      <alignment horizontal="center" vertical="center" wrapText="1"/>
      <protection hidden="1"/>
    </xf>
    <xf numFmtId="0" fontId="19" fillId="0" borderId="24" xfId="0" applyFont="1" applyFill="1" applyBorder="1" applyAlignment="1" applyProtection="1">
      <alignment horizontal="center" vertical="center" wrapText="1"/>
      <protection hidden="1"/>
    </xf>
    <xf numFmtId="0" fontId="19" fillId="0" borderId="32"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33" xfId="0" applyFont="1" applyFill="1" applyBorder="1" applyAlignment="1" applyProtection="1">
      <alignment horizontal="center" vertical="center" wrapText="1"/>
      <protection hidden="1"/>
    </xf>
    <xf numFmtId="0" fontId="13" fillId="12" borderId="23" xfId="0" applyFont="1" applyFill="1" applyBorder="1" applyAlignment="1" applyProtection="1">
      <alignment horizontal="center" vertical="center"/>
      <protection hidden="1"/>
    </xf>
    <xf numFmtId="0" fontId="13" fillId="12" borderId="12" xfId="0" applyFont="1" applyFill="1" applyBorder="1" applyAlignment="1" applyProtection="1">
      <alignment horizontal="center" vertical="center"/>
      <protection hidden="1"/>
    </xf>
    <xf numFmtId="0" fontId="1" fillId="7" borderId="9" xfId="0" applyFont="1" applyFill="1" applyBorder="1" applyAlignment="1" applyProtection="1">
      <alignment horizontal="center" vertical="center" wrapText="1"/>
      <protection hidden="1"/>
    </xf>
    <xf numFmtId="0" fontId="1" fillId="7" borderId="10" xfId="0" applyFont="1" applyFill="1" applyBorder="1" applyAlignment="1" applyProtection="1">
      <alignment horizontal="center" vertical="center" wrapText="1"/>
      <protection hidden="1"/>
    </xf>
    <xf numFmtId="0" fontId="2" fillId="4" borderId="23" xfId="0" applyFont="1" applyFill="1" applyBorder="1" applyAlignment="1" applyProtection="1">
      <alignment horizontal="center" vertical="center"/>
      <protection hidden="1"/>
    </xf>
    <xf numFmtId="0" fontId="2" fillId="4" borderId="12" xfId="0" applyFont="1" applyFill="1" applyBorder="1" applyAlignment="1" applyProtection="1">
      <alignment horizontal="center" vertical="center"/>
      <protection hidden="1"/>
    </xf>
    <xf numFmtId="0" fontId="15" fillId="0" borderId="0" xfId="0" applyFont="1" applyAlignment="1" applyProtection="1">
      <alignment horizontal="left" vertical="center"/>
      <protection hidden="1"/>
    </xf>
    <xf numFmtId="0" fontId="2" fillId="0" borderId="35" xfId="0" applyFont="1" applyBorder="1" applyAlignment="1" applyProtection="1">
      <alignment horizontal="center" vertical="center" wrapText="1"/>
      <protection hidden="1"/>
    </xf>
    <xf numFmtId="0" fontId="2" fillId="0" borderId="36"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1" fillId="8" borderId="15" xfId="0" applyFont="1" applyFill="1" applyBorder="1" applyAlignment="1" applyProtection="1">
      <alignment horizontal="center" vertical="center" wrapText="1"/>
      <protection hidden="1"/>
    </xf>
    <xf numFmtId="0" fontId="1" fillId="7" borderId="4" xfId="0" applyFont="1" applyFill="1" applyBorder="1" applyAlignment="1" applyProtection="1">
      <alignment horizontal="center" vertical="center" wrapText="1"/>
      <protection hidden="1"/>
    </xf>
    <xf numFmtId="0" fontId="1" fillId="7" borderId="23" xfId="0" applyFont="1" applyFill="1" applyBorder="1" applyAlignment="1" applyProtection="1">
      <alignment horizontal="center" vertical="center" wrapText="1"/>
      <protection hidden="1"/>
    </xf>
    <xf numFmtId="0" fontId="1" fillId="7" borderId="12" xfId="0" applyFont="1" applyFill="1" applyBorder="1" applyAlignment="1" applyProtection="1">
      <alignment horizontal="center" vertical="center" wrapText="1"/>
      <protection hidden="1"/>
    </xf>
    <xf numFmtId="0" fontId="13" fillId="0" borderId="17" xfId="0" applyFont="1" applyBorder="1" applyAlignment="1" applyProtection="1">
      <alignment horizontal="center" vertical="center" wrapText="1"/>
      <protection hidden="1"/>
    </xf>
    <xf numFmtId="0" fontId="13" fillId="0" borderId="18" xfId="0" applyFont="1" applyBorder="1" applyAlignment="1" applyProtection="1">
      <alignment horizontal="center" vertical="center" wrapText="1"/>
      <protection hidden="1"/>
    </xf>
    <xf numFmtId="0" fontId="13" fillId="0" borderId="19" xfId="0" applyFont="1" applyBorder="1" applyAlignment="1" applyProtection="1">
      <alignment horizontal="center" vertical="center" wrapText="1"/>
      <protection hidden="1"/>
    </xf>
    <xf numFmtId="0" fontId="13" fillId="0" borderId="20" xfId="0" applyFont="1" applyBorder="1" applyAlignment="1" applyProtection="1">
      <alignment horizontal="center" vertical="center" wrapText="1"/>
      <protection hidden="1"/>
    </xf>
    <xf numFmtId="0" fontId="13" fillId="0" borderId="21" xfId="0" applyFont="1" applyBorder="1" applyAlignment="1" applyProtection="1">
      <alignment horizontal="center" vertical="center" wrapText="1"/>
      <protection hidden="1"/>
    </xf>
    <xf numFmtId="0" fontId="13" fillId="0" borderId="22" xfId="0" applyFont="1" applyBorder="1" applyAlignment="1" applyProtection="1">
      <alignment horizontal="center" vertical="center" wrapText="1"/>
      <protection hidden="1"/>
    </xf>
    <xf numFmtId="0" fontId="15" fillId="0" borderId="15" xfId="0" applyFont="1" applyFill="1" applyBorder="1" applyAlignment="1" applyProtection="1">
      <alignment horizontal="center" vertical="center" wrapText="1"/>
      <protection hidden="1"/>
    </xf>
    <xf numFmtId="0" fontId="1" fillId="0" borderId="16" xfId="0" applyFont="1" applyFill="1" applyBorder="1" applyAlignment="1" applyProtection="1">
      <alignment horizontal="center" vertical="center" wrapText="1"/>
      <protection hidden="1"/>
    </xf>
    <xf numFmtId="0" fontId="1" fillId="0" borderId="15" xfId="0" applyFont="1" applyFill="1" applyBorder="1" applyAlignment="1" applyProtection="1">
      <alignment horizontal="center" vertical="center" wrapText="1"/>
      <protection hidden="1"/>
    </xf>
    <xf numFmtId="165" fontId="21" fillId="0" borderId="0" xfId="0" applyNumberFormat="1" applyFont="1" applyBorder="1" applyAlignment="1" applyProtection="1">
      <alignment horizontal="center"/>
      <protection hidden="1"/>
    </xf>
    <xf numFmtId="164" fontId="21" fillId="0" borderId="0" xfId="0" applyNumberFormat="1" applyFont="1" applyBorder="1" applyProtection="1">
      <protection hidden="1"/>
    </xf>
    <xf numFmtId="0" fontId="21" fillId="0" borderId="0" xfId="0" applyFont="1" applyBorder="1" applyAlignment="1" applyProtection="1">
      <alignment horizontal="center"/>
      <protection hidden="1"/>
    </xf>
    <xf numFmtId="10" fontId="21" fillId="0" borderId="0" xfId="0" applyNumberFormat="1" applyFont="1" applyFill="1" applyBorder="1" applyProtection="1">
      <protection hidden="1"/>
    </xf>
    <xf numFmtId="0" fontId="8" fillId="0" borderId="5" xfId="0" applyFont="1" applyFill="1" applyBorder="1" applyAlignment="1" applyProtection="1">
      <alignment horizontal="center"/>
      <protection hidden="1"/>
    </xf>
    <xf numFmtId="0" fontId="7" fillId="0" borderId="0" xfId="0" applyFont="1" applyProtection="1">
      <protection hidden="1"/>
    </xf>
    <xf numFmtId="0" fontId="7" fillId="0" borderId="6" xfId="0" applyFont="1" applyFill="1" applyBorder="1" applyProtection="1">
      <protection hidden="1"/>
    </xf>
    <xf numFmtId="0" fontId="7" fillId="0" borderId="0" xfId="0" applyFont="1" applyFill="1" applyBorder="1" applyProtection="1">
      <protection hidden="1"/>
    </xf>
    <xf numFmtId="0" fontId="7" fillId="0" borderId="7" xfId="0" applyFont="1" applyFill="1" applyBorder="1" applyProtection="1">
      <protection hidden="1"/>
    </xf>
    <xf numFmtId="0" fontId="7" fillId="0" borderId="2" xfId="0" applyFont="1" applyFill="1" applyBorder="1" applyProtection="1">
      <protection hidden="1"/>
    </xf>
    <xf numFmtId="0" fontId="7" fillId="0" borderId="0" xfId="0" applyFont="1" applyFill="1" applyBorder="1" applyAlignment="1" applyProtection="1">
      <alignment horizontal="center"/>
      <protection hidden="1"/>
    </xf>
    <xf numFmtId="0" fontId="7" fillId="4" borderId="2" xfId="0" applyFont="1" applyFill="1" applyBorder="1" applyProtection="1">
      <protection hidden="1"/>
    </xf>
    <xf numFmtId="0" fontId="7" fillId="0" borderId="2" xfId="0" applyFont="1" applyBorder="1" applyProtection="1">
      <protection hidden="1"/>
    </xf>
    <xf numFmtId="0" fontId="16" fillId="5" borderId="2" xfId="0" applyFont="1" applyFill="1" applyBorder="1" applyAlignment="1" applyProtection="1">
      <alignment horizontal="right"/>
      <protection hidden="1"/>
    </xf>
    <xf numFmtId="0" fontId="7" fillId="0" borderId="0" xfId="0" applyFont="1" applyBorder="1" applyProtection="1">
      <protection hidden="1"/>
    </xf>
    <xf numFmtId="0" fontId="15" fillId="2" borderId="2" xfId="0" applyFont="1" applyFill="1" applyBorder="1" applyProtection="1">
      <protection hidden="1"/>
    </xf>
    <xf numFmtId="0" fontId="9" fillId="5" borderId="2" xfId="0" applyFont="1" applyFill="1" applyBorder="1" applyProtection="1">
      <protection hidden="1"/>
    </xf>
    <xf numFmtId="0" fontId="7" fillId="0" borderId="0" xfId="0" applyFont="1" applyBorder="1" applyAlignment="1" applyProtection="1">
      <alignment horizontal="center"/>
      <protection hidden="1"/>
    </xf>
    <xf numFmtId="0" fontId="8" fillId="2" borderId="2" xfId="0" applyFont="1" applyFill="1" applyBorder="1" applyProtection="1">
      <protection hidden="1"/>
    </xf>
    <xf numFmtId="0" fontId="7" fillId="0" borderId="6" xfId="0" applyFont="1" applyBorder="1" applyProtection="1">
      <protection hidden="1"/>
    </xf>
    <xf numFmtId="0" fontId="7" fillId="0" borderId="7" xfId="0" applyFont="1" applyBorder="1" applyProtection="1">
      <protection hidden="1"/>
    </xf>
    <xf numFmtId="0" fontId="7" fillId="4" borderId="6" xfId="0" applyFont="1" applyFill="1" applyBorder="1" applyProtection="1">
      <protection hidden="1"/>
    </xf>
    <xf numFmtId="0" fontId="7" fillId="4" borderId="0" xfId="0" applyFont="1" applyFill="1" applyBorder="1" applyProtection="1">
      <protection hidden="1"/>
    </xf>
    <xf numFmtId="0" fontId="7" fillId="2" borderId="6" xfId="0" applyFont="1" applyFill="1" applyBorder="1" applyProtection="1">
      <protection hidden="1"/>
    </xf>
    <xf numFmtId="0" fontId="7" fillId="2" borderId="0" xfId="0" applyFont="1" applyFill="1" applyBorder="1" applyProtection="1">
      <protection hidden="1"/>
    </xf>
    <xf numFmtId="0" fontId="9" fillId="5" borderId="8" xfId="0" applyFont="1" applyFill="1" applyBorder="1" applyAlignment="1" applyProtection="1">
      <alignment horizontal="left"/>
      <protection hidden="1"/>
    </xf>
    <xf numFmtId="0" fontId="9" fillId="5" borderId="9" xfId="0" applyFont="1" applyFill="1" applyBorder="1" applyAlignment="1" applyProtection="1">
      <alignment horizontal="right"/>
      <protection hidden="1"/>
    </xf>
    <xf numFmtId="0" fontId="7" fillId="0" borderId="9" xfId="0" applyFont="1" applyBorder="1" applyProtection="1">
      <protection hidden="1"/>
    </xf>
    <xf numFmtId="0" fontId="7" fillId="0" borderId="10" xfId="0" applyFont="1" applyBorder="1" applyProtection="1">
      <protection hidden="1"/>
    </xf>
    <xf numFmtId="0" fontId="7" fillId="0" borderId="0" xfId="0" applyFont="1" applyFill="1" applyProtection="1">
      <protection hidden="1"/>
    </xf>
    <xf numFmtId="0" fontId="8" fillId="0" borderId="5"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9" fillId="5" borderId="2" xfId="0" applyFont="1" applyFill="1" applyBorder="1" applyAlignment="1" applyProtection="1">
      <alignment horizontal="right"/>
      <protection hidden="1"/>
    </xf>
    <xf numFmtId="2" fontId="7" fillId="0" borderId="2" xfId="0" applyNumberFormat="1" applyFont="1" applyFill="1" applyBorder="1" applyProtection="1">
      <protection hidden="1"/>
    </xf>
    <xf numFmtId="0" fontId="30" fillId="0" borderId="2" xfId="0" applyFont="1" applyFill="1" applyBorder="1" applyProtection="1">
      <protection hidden="1"/>
    </xf>
    <xf numFmtId="0" fontId="9" fillId="0" borderId="0" xfId="0" applyFont="1" applyFill="1" applyBorder="1" applyProtection="1">
      <protection hidden="1"/>
    </xf>
    <xf numFmtId="2" fontId="7" fillId="0" borderId="2" xfId="0" applyNumberFormat="1" applyFont="1" applyBorder="1" applyProtection="1">
      <protection hidden="1"/>
    </xf>
    <xf numFmtId="0" fontId="9" fillId="0" borderId="2" xfId="0" applyFont="1" applyFill="1" applyBorder="1" applyProtection="1">
      <protection hidden="1"/>
    </xf>
    <xf numFmtId="0" fontId="0" fillId="0" borderId="0" xfId="0" applyProtection="1">
      <protection hidden="1"/>
    </xf>
    <xf numFmtId="10" fontId="0" fillId="0" borderId="0" xfId="0" applyNumberFormat="1" applyProtection="1">
      <protection hidden="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E6E64C"/>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33"/>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2"/>
  <sheetViews>
    <sheetView tabSelected="1" zoomScale="75" zoomScaleNormal="75" workbookViewId="0">
      <selection activeCell="D19" sqref="D19"/>
    </sheetView>
  </sheetViews>
  <sheetFormatPr baseColWidth="10" defaultRowHeight="12.75" x14ac:dyDescent="0.2"/>
  <cols>
    <col min="1" max="1" width="9.85546875" style="50" customWidth="1"/>
    <col min="2" max="2" width="16" style="50" customWidth="1"/>
    <col min="3" max="3" width="23.28515625" style="11" customWidth="1"/>
    <col min="4" max="4" width="30.85546875" style="11" customWidth="1"/>
    <col min="5" max="5" width="22.140625" style="11" hidden="1" customWidth="1"/>
    <col min="6" max="6" width="22.140625" style="11" customWidth="1"/>
    <col min="7" max="7" width="34.7109375" style="11" customWidth="1"/>
    <col min="8" max="8" width="36.42578125" style="11" customWidth="1"/>
    <col min="9" max="9" width="17.7109375" style="11" customWidth="1"/>
    <col min="10" max="10" width="24.28515625" style="10" customWidth="1"/>
    <col min="11" max="11" width="11.42578125" style="11"/>
    <col min="12" max="12" width="18.42578125" style="11" customWidth="1"/>
    <col min="13" max="16384" width="11.42578125" style="11"/>
  </cols>
  <sheetData>
    <row r="1" spans="1:29" s="74" customFormat="1" ht="30" customHeight="1" thickBot="1" x14ac:dyDescent="0.25">
      <c r="A1" s="113" t="s">
        <v>50</v>
      </c>
      <c r="B1" s="113"/>
      <c r="C1" s="113"/>
      <c r="D1" s="113"/>
      <c r="E1" s="113"/>
      <c r="F1" s="113"/>
      <c r="G1" s="113"/>
      <c r="H1" s="113"/>
      <c r="I1" s="113"/>
      <c r="J1" s="113"/>
      <c r="K1" s="113"/>
      <c r="L1" s="113"/>
      <c r="M1" s="113"/>
    </row>
    <row r="2" spans="1:29" ht="53.25" customHeight="1" thickBot="1" x14ac:dyDescent="0.25">
      <c r="A2" s="114" t="s">
        <v>63</v>
      </c>
      <c r="B2" s="115"/>
      <c r="C2" s="115"/>
      <c r="D2" s="90">
        <v>5.8</v>
      </c>
      <c r="E2" s="87" t="s">
        <v>58</v>
      </c>
      <c r="F2" s="90">
        <v>1.8</v>
      </c>
      <c r="G2" s="89" t="s">
        <v>54</v>
      </c>
      <c r="H2" s="91" t="s">
        <v>34</v>
      </c>
      <c r="I2" s="88">
        <v>44927</v>
      </c>
    </row>
    <row r="3" spans="1:29" ht="30" customHeight="1" x14ac:dyDescent="0.35">
      <c r="A3" s="73" t="s">
        <v>49</v>
      </c>
      <c r="B3" s="12"/>
      <c r="C3" s="13"/>
      <c r="D3" s="12" t="s">
        <v>0</v>
      </c>
      <c r="E3" s="12" t="s">
        <v>35</v>
      </c>
      <c r="F3" s="12"/>
      <c r="G3" s="12" t="s">
        <v>1</v>
      </c>
      <c r="H3" s="14" t="s">
        <v>2</v>
      </c>
      <c r="I3" s="15"/>
      <c r="J3" s="16"/>
    </row>
    <row r="4" spans="1:29" s="21" customFormat="1" ht="35.1" customHeight="1" x14ac:dyDescent="0.2">
      <c r="A4" s="17" t="s">
        <v>3</v>
      </c>
      <c r="B4" s="18" t="s">
        <v>48</v>
      </c>
      <c r="C4" s="17" t="s">
        <v>44</v>
      </c>
      <c r="D4" s="17" t="s">
        <v>55</v>
      </c>
      <c r="E4" s="18" t="s">
        <v>46</v>
      </c>
      <c r="F4" s="83" t="s">
        <v>56</v>
      </c>
      <c r="G4" s="18" t="s">
        <v>45</v>
      </c>
      <c r="H4" s="17" t="s">
        <v>4</v>
      </c>
      <c r="I4" s="17" t="s">
        <v>5</v>
      </c>
      <c r="J4" s="19" t="s">
        <v>6</v>
      </c>
      <c r="K4" s="20"/>
    </row>
    <row r="5" spans="1:29" ht="35.1" customHeight="1" x14ac:dyDescent="0.35">
      <c r="A5" s="22">
        <v>1</v>
      </c>
      <c r="B5" s="23">
        <f t="shared" ref="B5:B14" si="0">C5*4.33</f>
        <v>43.3</v>
      </c>
      <c r="C5" s="1">
        <v>10</v>
      </c>
      <c r="D5" s="24">
        <f>C5*$D$2*4.33</f>
        <v>251.14000000000001</v>
      </c>
      <c r="E5" s="25">
        <f>IF(F5&gt;0,0,D5*40%)</f>
        <v>0</v>
      </c>
      <c r="F5" s="25">
        <f>C5*$F$2*4.33</f>
        <v>77.94</v>
      </c>
      <c r="G5" s="25">
        <f>IF(C5&lt;15,0,IF(AND(C5&gt;=15,C5&lt;25.01),150,IF(AND(C5&gt;=25.01,C5&lt;35.01),216.67,IF(AND(C5&gt;=35.01,C5&lt;45.01),275,308.33))))</f>
        <v>0</v>
      </c>
      <c r="H5" s="26">
        <f>IF(C5&gt;40,400,I5*400)</f>
        <v>100</v>
      </c>
      <c r="I5" s="27">
        <f>C5/40</f>
        <v>0.25</v>
      </c>
      <c r="J5" s="28">
        <f t="shared" ref="J5:J21" si="1">I5*300</f>
        <v>75</v>
      </c>
      <c r="K5" s="10"/>
    </row>
    <row r="6" spans="1:29" ht="35.1" customHeight="1" x14ac:dyDescent="0.35">
      <c r="A6" s="22">
        <v>2</v>
      </c>
      <c r="B6" s="23">
        <f t="shared" si="0"/>
        <v>173.2</v>
      </c>
      <c r="C6" s="1">
        <v>40</v>
      </c>
      <c r="D6" s="24">
        <f t="shared" ref="D6:D14" si="2">C6*$D$2*4.33</f>
        <v>1004.5600000000001</v>
      </c>
      <c r="E6" s="25">
        <f t="shared" ref="E6:E10" si="3">IF(F6&gt;0,0,D6*40%)</f>
        <v>0</v>
      </c>
      <c r="F6" s="25">
        <f>C6*$F$2*4.33</f>
        <v>311.76</v>
      </c>
      <c r="G6" s="25">
        <f>IF(C6&lt;15,0,IF(AND(C6&gt;=15,C6&lt;25.01),150,IF(AND(C6&gt;=25.01,C6&lt;35.01),216.67,IF(AND(C6&gt;=35.01,C6&lt;45.01),275,308.33))))</f>
        <v>275</v>
      </c>
      <c r="H6" s="26">
        <f t="shared" ref="H6:H14" si="4">IF(C6&gt;40,400,I6*400)</f>
        <v>400</v>
      </c>
      <c r="I6" s="27">
        <f>C6/40</f>
        <v>1</v>
      </c>
      <c r="J6" s="28">
        <f t="shared" si="1"/>
        <v>300</v>
      </c>
      <c r="K6" s="10"/>
    </row>
    <row r="7" spans="1:29" ht="35.1" customHeight="1" x14ac:dyDescent="0.35">
      <c r="A7" s="22">
        <v>3</v>
      </c>
      <c r="B7" s="23">
        <f t="shared" si="0"/>
        <v>173.2</v>
      </c>
      <c r="C7" s="1">
        <v>40</v>
      </c>
      <c r="D7" s="24">
        <f t="shared" si="2"/>
        <v>1004.5600000000001</v>
      </c>
      <c r="E7" s="25">
        <f t="shared" si="3"/>
        <v>0</v>
      </c>
      <c r="F7" s="25">
        <f>C7*$F$2*4.33</f>
        <v>311.76</v>
      </c>
      <c r="G7" s="25">
        <f>IF(C7&lt;15,0,IF(AND(C7&gt;=15,C7&lt;25.01),150,IF(AND(C7&gt;=25.01,C7&lt;35.01),216.67,IF(AND(C7&gt;=35.01,C7&lt;45.01),275,308.33))))</f>
        <v>275</v>
      </c>
      <c r="H7" s="26">
        <f t="shared" si="4"/>
        <v>400</v>
      </c>
      <c r="I7" s="27">
        <f>C7/40</f>
        <v>1</v>
      </c>
      <c r="J7" s="28">
        <f t="shared" si="1"/>
        <v>300</v>
      </c>
      <c r="K7" s="10"/>
    </row>
    <row r="8" spans="1:29" ht="35.1" customHeight="1" x14ac:dyDescent="0.35">
      <c r="A8" s="22">
        <v>4</v>
      </c>
      <c r="B8" s="23">
        <f t="shared" si="0"/>
        <v>0</v>
      </c>
      <c r="C8" s="1">
        <v>0</v>
      </c>
      <c r="D8" s="24">
        <f t="shared" si="2"/>
        <v>0</v>
      </c>
      <c r="E8" s="25">
        <f t="shared" si="3"/>
        <v>0</v>
      </c>
      <c r="F8" s="25">
        <f>C8*$F$2*4.33</f>
        <v>0</v>
      </c>
      <c r="G8" s="25">
        <f>IF(C8&lt;15,0,IF(AND(C8&gt;=15,C8&lt;25.01),150,IF(AND(C8&gt;=25.01,C8&lt;35.01),216.67,IF(AND(C8&gt;=35.01,C8&lt;45.01),275,308.33))))</f>
        <v>0</v>
      </c>
      <c r="H8" s="26">
        <f t="shared" si="4"/>
        <v>0</v>
      </c>
      <c r="I8" s="27">
        <f>C8/40</f>
        <v>0</v>
      </c>
      <c r="J8" s="28">
        <f t="shared" si="1"/>
        <v>0</v>
      </c>
      <c r="K8" s="10"/>
    </row>
    <row r="9" spans="1:29" ht="35.1" customHeight="1" x14ac:dyDescent="0.35">
      <c r="A9" s="22">
        <v>5</v>
      </c>
      <c r="B9" s="23">
        <f t="shared" si="0"/>
        <v>0</v>
      </c>
      <c r="C9" s="1">
        <v>0</v>
      </c>
      <c r="D9" s="24">
        <f t="shared" si="2"/>
        <v>0</v>
      </c>
      <c r="E9" s="25">
        <f t="shared" si="3"/>
        <v>0</v>
      </c>
      <c r="F9" s="25">
        <f>C9*$F$2*4.33</f>
        <v>0</v>
      </c>
      <c r="G9" s="25">
        <f>IF(C9&lt;15,0,IF(AND(C9&gt;=15,C9&lt;25.01),150,IF(AND(C9&gt;=25.01,C9&lt;35.01),216.67,IF(AND(C9&gt;=35.01,C9&lt;45.01),275,308.33))))</f>
        <v>0</v>
      </c>
      <c r="H9" s="26">
        <f t="shared" si="4"/>
        <v>0</v>
      </c>
      <c r="I9" s="27">
        <f>C9/40</f>
        <v>0</v>
      </c>
      <c r="J9" s="28">
        <f t="shared" si="1"/>
        <v>0</v>
      </c>
      <c r="K9" s="10"/>
    </row>
    <row r="10" spans="1:29" ht="35.1" customHeight="1" x14ac:dyDescent="0.35">
      <c r="A10" s="22">
        <v>6</v>
      </c>
      <c r="B10" s="23">
        <f t="shared" si="0"/>
        <v>0</v>
      </c>
      <c r="C10" s="1">
        <v>0</v>
      </c>
      <c r="D10" s="24">
        <f t="shared" si="2"/>
        <v>0</v>
      </c>
      <c r="E10" s="25">
        <f t="shared" si="3"/>
        <v>0</v>
      </c>
      <c r="F10" s="25">
        <f>C10*$F$2*4.33</f>
        <v>0</v>
      </c>
      <c r="G10" s="25">
        <f>IF(C10&lt;15,0,IF(AND(C10&gt;=15,C10&lt;25.01),150,IF(AND(C10&gt;=25.01,C10&lt;35.01),216.67,IF(AND(C10&gt;=35.01,C10&lt;45.01),275,308.33))))</f>
        <v>0</v>
      </c>
      <c r="H10" s="26">
        <f t="shared" si="4"/>
        <v>0</v>
      </c>
      <c r="I10" s="27">
        <f>C10/40</f>
        <v>0</v>
      </c>
      <c r="J10" s="28">
        <f t="shared" ref="J10:J17" si="5">I10*300</f>
        <v>0</v>
      </c>
      <c r="K10" s="54"/>
      <c r="L10" s="54"/>
      <c r="M10" s="54"/>
      <c r="N10" s="54"/>
      <c r="O10" s="54"/>
      <c r="P10" s="54"/>
      <c r="Q10" s="54"/>
      <c r="R10" s="54"/>
      <c r="S10" s="54"/>
    </row>
    <row r="11" spans="1:29" ht="35.1" customHeight="1" x14ac:dyDescent="0.35">
      <c r="A11" s="22">
        <v>7</v>
      </c>
      <c r="B11" s="23">
        <f t="shared" si="0"/>
        <v>0</v>
      </c>
      <c r="C11" s="1">
        <v>0</v>
      </c>
      <c r="D11" s="24">
        <f t="shared" si="2"/>
        <v>0</v>
      </c>
      <c r="E11" s="25">
        <f t="shared" ref="E11:E14" si="6">D11*40%</f>
        <v>0</v>
      </c>
      <c r="F11" s="25">
        <f>C11*$F$2*4.33</f>
        <v>0</v>
      </c>
      <c r="G11" s="25">
        <f>IF(C11&lt;15,0,IF(AND(C11&gt;=15,C11&lt;25.01),150,IF(AND(C11&gt;=25.01,C11&lt;35.01),216.67,IF(AND(C11&gt;=35.01,C11&lt;45.01),275,308.33))))</f>
        <v>0</v>
      </c>
      <c r="H11" s="26">
        <f t="shared" si="4"/>
        <v>0</v>
      </c>
      <c r="I11" s="27">
        <f>C11/40</f>
        <v>0</v>
      </c>
      <c r="J11" s="28">
        <f t="shared" si="5"/>
        <v>0</v>
      </c>
      <c r="K11" s="54"/>
      <c r="L11" s="54" t="s">
        <v>52</v>
      </c>
      <c r="M11" s="54"/>
      <c r="N11" s="54"/>
      <c r="O11" s="54"/>
      <c r="P11" s="54"/>
      <c r="Q11" s="54"/>
      <c r="R11" s="54"/>
      <c r="S11" s="54"/>
      <c r="U11" s="54"/>
      <c r="V11" s="54"/>
      <c r="W11" s="54"/>
      <c r="X11" s="54"/>
      <c r="Y11" s="54"/>
      <c r="Z11" s="54"/>
      <c r="AA11" s="54"/>
      <c r="AB11" s="54"/>
      <c r="AC11" s="54"/>
    </row>
    <row r="12" spans="1:29" ht="35.1" customHeight="1" x14ac:dyDescent="0.35">
      <c r="A12" s="22">
        <v>8</v>
      </c>
      <c r="B12" s="23">
        <f t="shared" si="0"/>
        <v>0</v>
      </c>
      <c r="C12" s="1">
        <v>0</v>
      </c>
      <c r="D12" s="24">
        <f t="shared" si="2"/>
        <v>0</v>
      </c>
      <c r="E12" s="25">
        <f t="shared" si="6"/>
        <v>0</v>
      </c>
      <c r="F12" s="25">
        <f>C12*$F$2*4.33</f>
        <v>0</v>
      </c>
      <c r="G12" s="25">
        <f>IF(C12&lt;15,0,IF(AND(C12&gt;=15,C12&lt;25.01),150,IF(AND(C12&gt;=25.01,C12&lt;35.01),216.67,IF(AND(C12&gt;=35.01,C12&lt;45.01),275,308.33))))</f>
        <v>0</v>
      </c>
      <c r="H12" s="26">
        <f t="shared" si="4"/>
        <v>0</v>
      </c>
      <c r="I12" s="27">
        <f>C12/40</f>
        <v>0</v>
      </c>
      <c r="J12" s="28">
        <f t="shared" si="5"/>
        <v>0</v>
      </c>
      <c r="K12" s="54"/>
      <c r="L12" s="54"/>
      <c r="M12" s="54"/>
      <c r="N12" s="54"/>
      <c r="O12" s="54"/>
      <c r="P12" s="54"/>
      <c r="Q12" s="54"/>
      <c r="R12" s="54"/>
      <c r="S12" s="54"/>
      <c r="U12" s="54"/>
      <c r="V12" s="54"/>
      <c r="W12" s="54"/>
      <c r="X12" s="54"/>
      <c r="Y12" s="54"/>
      <c r="Z12" s="54"/>
      <c r="AA12" s="54"/>
      <c r="AB12" s="54"/>
      <c r="AC12" s="54"/>
    </row>
    <row r="13" spans="1:29" ht="35.1" customHeight="1" x14ac:dyDescent="0.35">
      <c r="A13" s="22">
        <v>9</v>
      </c>
      <c r="B13" s="23">
        <f t="shared" ref="B13" si="7">C13*4.33</f>
        <v>0</v>
      </c>
      <c r="C13" s="1">
        <v>0</v>
      </c>
      <c r="D13" s="24">
        <f t="shared" si="2"/>
        <v>0</v>
      </c>
      <c r="E13" s="25">
        <f t="shared" si="6"/>
        <v>0</v>
      </c>
      <c r="F13" s="25">
        <f>C13*$F$2*4.33</f>
        <v>0</v>
      </c>
      <c r="G13" s="25">
        <f>IF(C13&lt;15,0,IF(AND(C13&gt;=15,C13&lt;25.01),150,IF(AND(C13&gt;=25.01,C13&lt;35.01),216.67,IF(AND(C13&gt;=35.01,C13&lt;45.01),275,308.33))))</f>
        <v>0</v>
      </c>
      <c r="H13" s="26">
        <f t="shared" si="4"/>
        <v>0</v>
      </c>
      <c r="I13" s="27">
        <f t="shared" ref="I13" si="8">C13/40</f>
        <v>0</v>
      </c>
      <c r="J13" s="28">
        <f>I13*300</f>
        <v>0</v>
      </c>
      <c r="K13" s="54"/>
      <c r="L13" s="54"/>
      <c r="M13" s="54"/>
      <c r="N13" s="54"/>
      <c r="O13" s="54"/>
      <c r="P13" s="54"/>
      <c r="Q13" s="54"/>
      <c r="R13" s="54"/>
      <c r="S13" s="54"/>
      <c r="U13" s="54"/>
      <c r="V13" s="54"/>
      <c r="W13" s="54"/>
      <c r="X13" s="54"/>
      <c r="Y13" s="54"/>
      <c r="Z13" s="54"/>
      <c r="AA13" s="54"/>
      <c r="AB13" s="54"/>
      <c r="AC13" s="54"/>
    </row>
    <row r="14" spans="1:29" ht="35.1" customHeight="1" x14ac:dyDescent="0.35">
      <c r="A14" s="29">
        <v>10</v>
      </c>
      <c r="B14" s="30">
        <f t="shared" si="0"/>
        <v>0</v>
      </c>
      <c r="C14" s="7">
        <v>0</v>
      </c>
      <c r="D14" s="24">
        <f t="shared" si="2"/>
        <v>0</v>
      </c>
      <c r="E14" s="25">
        <f t="shared" si="6"/>
        <v>0</v>
      </c>
      <c r="F14" s="25">
        <f>C14*$F$2*4.33</f>
        <v>0</v>
      </c>
      <c r="G14" s="25">
        <f>IF(C14&lt;15,0,IF(AND(C14&gt;=15,C14&lt;25.01),150,IF(AND(C14&gt;=25.01,C14&lt;35.01),216.67,IF(AND(C14&gt;=35.01,C14&lt;45.01),275,308.33))))</f>
        <v>0</v>
      </c>
      <c r="H14" s="31">
        <f t="shared" si="4"/>
        <v>0</v>
      </c>
      <c r="I14" s="32">
        <f>C14/40</f>
        <v>0</v>
      </c>
      <c r="J14" s="28">
        <f t="shared" si="5"/>
        <v>0</v>
      </c>
      <c r="V14" s="54"/>
      <c r="W14" s="54"/>
      <c r="X14" s="54"/>
      <c r="Y14" s="54"/>
      <c r="Z14" s="54"/>
      <c r="AA14" s="54"/>
      <c r="AB14" s="54"/>
      <c r="AC14" s="54"/>
    </row>
    <row r="15" spans="1:29" s="39" customFormat="1" ht="30" customHeight="1" x14ac:dyDescent="0.3">
      <c r="A15" s="33" t="s">
        <v>47</v>
      </c>
      <c r="B15" s="34"/>
      <c r="C15" s="35"/>
      <c r="D15" s="35" t="s">
        <v>0</v>
      </c>
      <c r="E15" s="36"/>
      <c r="F15" s="36"/>
      <c r="G15" s="77" t="s">
        <v>53</v>
      </c>
      <c r="H15" s="35" t="s">
        <v>2</v>
      </c>
      <c r="I15" s="37"/>
      <c r="J15" s="38"/>
      <c r="V15" s="79"/>
      <c r="W15" s="79"/>
      <c r="X15" s="79"/>
      <c r="Y15" s="79"/>
      <c r="Z15" s="79"/>
      <c r="AA15" s="79"/>
      <c r="AB15" s="79"/>
      <c r="AC15" s="79"/>
    </row>
    <row r="16" spans="1:29" ht="35.1" customHeight="1" x14ac:dyDescent="0.35">
      <c r="A16" s="40">
        <v>0</v>
      </c>
      <c r="B16" s="9">
        <v>0</v>
      </c>
      <c r="C16" s="8">
        <v>45</v>
      </c>
      <c r="D16" s="9">
        <v>0</v>
      </c>
      <c r="E16" s="9">
        <f>IF(A16&gt;0,(C16*1.45*4.33),0)</f>
        <v>0</v>
      </c>
      <c r="F16" s="9">
        <v>0</v>
      </c>
      <c r="G16" s="78">
        <v>0</v>
      </c>
      <c r="H16" s="41">
        <f t="shared" ref="H16:H19" si="9">IF(C16&gt;40,400,I16*400)</f>
        <v>400</v>
      </c>
      <c r="I16" s="42">
        <f>C16/40</f>
        <v>1.125</v>
      </c>
      <c r="J16" s="28"/>
      <c r="V16" s="54"/>
      <c r="W16" s="54"/>
      <c r="X16" s="54"/>
      <c r="Y16" s="54"/>
      <c r="Z16" s="54"/>
      <c r="AA16" s="54"/>
      <c r="AB16" s="54"/>
      <c r="AC16" s="54"/>
    </row>
    <row r="17" spans="1:29" ht="35.1" customHeight="1" x14ac:dyDescent="0.35">
      <c r="A17" s="22">
        <v>0</v>
      </c>
      <c r="B17" s="9">
        <v>0</v>
      </c>
      <c r="C17" s="1">
        <v>0</v>
      </c>
      <c r="D17" s="9">
        <v>0</v>
      </c>
      <c r="E17" s="9">
        <v>0</v>
      </c>
      <c r="F17" s="9">
        <v>0</v>
      </c>
      <c r="G17" s="78">
        <v>0</v>
      </c>
      <c r="H17" s="31">
        <f t="shared" si="9"/>
        <v>0</v>
      </c>
      <c r="I17" s="32">
        <f>C17/40</f>
        <v>0</v>
      </c>
      <c r="J17" s="28"/>
      <c r="V17" s="54"/>
      <c r="W17" s="54"/>
      <c r="X17" s="54"/>
      <c r="Y17" s="54"/>
      <c r="Z17" s="54"/>
      <c r="AA17" s="54"/>
      <c r="AB17" s="54"/>
      <c r="AC17" s="54"/>
    </row>
    <row r="18" spans="1:29" ht="35.1" customHeight="1" x14ac:dyDescent="0.35">
      <c r="A18" s="22">
        <v>0</v>
      </c>
      <c r="B18" s="9">
        <v>0</v>
      </c>
      <c r="C18" s="1">
        <v>0</v>
      </c>
      <c r="D18" s="9">
        <v>0</v>
      </c>
      <c r="E18" s="9">
        <v>0</v>
      </c>
      <c r="F18" s="9">
        <v>0</v>
      </c>
      <c r="G18" s="78">
        <v>0</v>
      </c>
      <c r="H18" s="26">
        <f t="shared" si="9"/>
        <v>0</v>
      </c>
      <c r="I18" s="27">
        <f>C18/40</f>
        <v>0</v>
      </c>
      <c r="J18" s="28"/>
      <c r="V18" s="54"/>
      <c r="W18" s="54"/>
      <c r="X18" s="54"/>
      <c r="Y18" s="54"/>
      <c r="Z18" s="54"/>
      <c r="AA18" s="54"/>
      <c r="AB18" s="54"/>
      <c r="AC18" s="54"/>
    </row>
    <row r="19" spans="1:29" ht="35.1" customHeight="1" x14ac:dyDescent="0.35">
      <c r="A19" s="22">
        <v>0</v>
      </c>
      <c r="B19" s="9">
        <v>0</v>
      </c>
      <c r="C19" s="1">
        <v>0</v>
      </c>
      <c r="D19" s="9">
        <v>0</v>
      </c>
      <c r="E19" s="9">
        <v>0</v>
      </c>
      <c r="F19" s="9">
        <v>0</v>
      </c>
      <c r="G19" s="78">
        <v>0</v>
      </c>
      <c r="H19" s="26">
        <f t="shared" si="9"/>
        <v>0</v>
      </c>
      <c r="I19" s="27">
        <f>C19/40</f>
        <v>0</v>
      </c>
      <c r="J19" s="28"/>
      <c r="V19" s="54"/>
      <c r="W19" s="54"/>
      <c r="X19" s="54"/>
      <c r="Y19" s="54"/>
      <c r="Z19" s="54"/>
      <c r="AA19" s="54"/>
      <c r="AB19" s="54"/>
      <c r="AC19" s="54"/>
    </row>
    <row r="20" spans="1:29" ht="30" customHeight="1" x14ac:dyDescent="0.35">
      <c r="A20" s="121" t="s">
        <v>42</v>
      </c>
      <c r="B20" s="122"/>
      <c r="C20" s="123"/>
      <c r="D20" s="98">
        <v>0</v>
      </c>
      <c r="E20" s="100" t="s">
        <v>60</v>
      </c>
      <c r="F20" s="101"/>
      <c r="G20" s="102"/>
      <c r="H20" s="102"/>
      <c r="I20" s="103"/>
      <c r="J20" s="28"/>
      <c r="V20" s="54"/>
      <c r="W20" s="54"/>
      <c r="X20" s="54"/>
      <c r="Y20" s="54"/>
      <c r="Z20" s="54"/>
      <c r="AA20" s="54"/>
      <c r="AB20" s="54"/>
      <c r="AC20" s="54"/>
    </row>
    <row r="21" spans="1:29" ht="30" customHeight="1" x14ac:dyDescent="0.35">
      <c r="A21" s="124"/>
      <c r="B21" s="125"/>
      <c r="C21" s="126"/>
      <c r="D21" s="99"/>
      <c r="E21" s="104"/>
      <c r="F21" s="105"/>
      <c r="G21" s="105"/>
      <c r="H21" s="105"/>
      <c r="I21" s="106"/>
      <c r="J21" s="28"/>
      <c r="V21" s="54"/>
      <c r="W21" s="54"/>
      <c r="X21" s="54"/>
      <c r="Y21" s="54"/>
      <c r="Z21" s="54"/>
      <c r="AA21" s="54"/>
      <c r="AB21" s="54"/>
      <c r="AC21" s="54"/>
    </row>
    <row r="22" spans="1:29" ht="35.1" customHeight="1" x14ac:dyDescent="0.35">
      <c r="A22" s="40"/>
      <c r="B22" s="43">
        <f>SUM(B5:B19)</f>
        <v>389.7</v>
      </c>
      <c r="C22" s="44">
        <f>SUM(C5:C19)</f>
        <v>135</v>
      </c>
      <c r="D22" s="45">
        <f>SUM(D5:D21)</f>
        <v>2260.2600000000002</v>
      </c>
      <c r="E22" s="46">
        <f>SUM(E5:E19)</f>
        <v>0</v>
      </c>
      <c r="F22" s="84">
        <f>SUM(F5:F19)</f>
        <v>701.46</v>
      </c>
      <c r="G22" s="47">
        <f>SUM(G16:G19)+SUM(G5:G14)</f>
        <v>550</v>
      </c>
      <c r="H22" s="48">
        <f>SUM(H5:H21)</f>
        <v>1300</v>
      </c>
      <c r="I22" s="49" t="s">
        <v>7</v>
      </c>
      <c r="J22" s="28"/>
      <c r="K22" s="92"/>
      <c r="V22" s="54"/>
      <c r="W22" s="54"/>
      <c r="X22" s="54"/>
      <c r="Y22" s="54"/>
      <c r="Z22" s="54"/>
      <c r="AA22" s="54"/>
      <c r="AB22" s="54"/>
      <c r="AC22" s="54"/>
    </row>
    <row r="23" spans="1:29" ht="20.85" customHeight="1" x14ac:dyDescent="0.2"/>
    <row r="24" spans="1:29" ht="35.1" customHeight="1" x14ac:dyDescent="0.35">
      <c r="C24" s="51">
        <f>D22</f>
        <v>2260.2600000000002</v>
      </c>
      <c r="D24" s="52" t="s">
        <v>8</v>
      </c>
      <c r="E24" s="53"/>
      <c r="F24" s="53"/>
      <c r="G24" s="54"/>
      <c r="H24" s="54"/>
      <c r="I24" s="54"/>
      <c r="J24" s="54"/>
    </row>
    <row r="25" spans="1:29" ht="35.1" customHeight="1" x14ac:dyDescent="0.35">
      <c r="C25" s="51">
        <f>G22</f>
        <v>550</v>
      </c>
      <c r="D25" s="93" t="s">
        <v>59</v>
      </c>
      <c r="E25" s="55"/>
      <c r="F25" s="55"/>
      <c r="G25" s="54"/>
      <c r="H25" s="54"/>
      <c r="I25" s="54"/>
      <c r="J25" s="54"/>
    </row>
    <row r="26" spans="1:29" ht="35.1" customHeight="1" x14ac:dyDescent="0.35">
      <c r="C26" s="56">
        <f>SUM(C24)</f>
        <v>2260.2600000000002</v>
      </c>
      <c r="D26" s="6" t="s">
        <v>36</v>
      </c>
      <c r="E26" s="57">
        <v>0</v>
      </c>
      <c r="F26" s="57"/>
      <c r="G26" s="54"/>
      <c r="H26" s="54"/>
      <c r="I26" s="54"/>
      <c r="J26" s="54"/>
    </row>
    <row r="27" spans="1:29" ht="20.85" customHeight="1" x14ac:dyDescent="0.3">
      <c r="D27" s="39"/>
      <c r="E27" s="58"/>
      <c r="F27" s="58"/>
      <c r="G27" s="54"/>
      <c r="H27" s="54"/>
      <c r="I27" s="54"/>
      <c r="J27" s="54"/>
    </row>
    <row r="28" spans="1:29" ht="35.1" customHeight="1" x14ac:dyDescent="0.35">
      <c r="C28" s="49">
        <f>C26</f>
        <v>2260.2600000000002</v>
      </c>
      <c r="D28" s="59" t="s">
        <v>9</v>
      </c>
      <c r="E28" s="55"/>
      <c r="F28" s="55"/>
      <c r="G28" s="54"/>
      <c r="H28" s="54"/>
      <c r="I28" s="54"/>
      <c r="J28" s="54"/>
      <c r="K28" s="54"/>
      <c r="L28" s="54"/>
      <c r="M28" s="54"/>
      <c r="N28" s="54"/>
    </row>
    <row r="29" spans="1:29" ht="35.1" customHeight="1" x14ac:dyDescent="0.35">
      <c r="C29" s="49">
        <f>H22</f>
        <v>1300</v>
      </c>
      <c r="D29" s="59" t="s">
        <v>4</v>
      </c>
      <c r="E29" s="55"/>
      <c r="F29" s="55"/>
      <c r="G29" s="132" t="s">
        <v>10</v>
      </c>
      <c r="H29" s="85"/>
      <c r="I29" s="85"/>
      <c r="J29" s="54"/>
      <c r="K29" s="54"/>
      <c r="L29" s="54"/>
      <c r="M29" s="54"/>
      <c r="N29" s="54"/>
      <c r="O29" s="80"/>
      <c r="P29" s="80"/>
    </row>
    <row r="30" spans="1:29" ht="35.1" customHeight="1" x14ac:dyDescent="0.35">
      <c r="C30" s="60">
        <f>C28-C29</f>
        <v>960.26000000000022</v>
      </c>
      <c r="D30" s="3" t="s">
        <v>11</v>
      </c>
      <c r="E30" s="57"/>
      <c r="F30" s="57"/>
      <c r="G30" s="132">
        <f>ROUNDDOWN(C30*12,0)</f>
        <v>11523</v>
      </c>
      <c r="H30" s="55" t="s">
        <v>12</v>
      </c>
      <c r="I30" s="131">
        <f>IF(G30&lt;9409,0,IF(G30&lt;14533,Steuertabelle!G6,IF(AND(G30&gt;14532,G30&lt;57051),Steuertabelle!G10,Steuertabelle!G13)))</f>
        <v>7</v>
      </c>
      <c r="J30" s="133" t="s">
        <v>43</v>
      </c>
      <c r="K30" s="86"/>
      <c r="L30" s="53"/>
      <c r="M30" s="54"/>
      <c r="N30" s="54"/>
      <c r="O30" s="80"/>
      <c r="P30" s="80"/>
    </row>
    <row r="31" spans="1:29" ht="33.950000000000003" customHeight="1" x14ac:dyDescent="0.35">
      <c r="E31" s="58"/>
      <c r="F31" s="58"/>
      <c r="G31" s="54"/>
      <c r="H31" s="55" t="s">
        <v>13</v>
      </c>
      <c r="I31" s="131">
        <f>IF(G33&lt;520,0,IF(G33&gt;520,G33*18.6%))</f>
        <v>178.60836000000006</v>
      </c>
      <c r="J31" s="53" t="s">
        <v>65</v>
      </c>
      <c r="K31" s="53"/>
      <c r="L31" s="53"/>
      <c r="M31" s="54"/>
      <c r="N31" s="54"/>
      <c r="O31" s="80"/>
      <c r="P31" s="80"/>
    </row>
    <row r="32" spans="1:29" ht="38.1" customHeight="1" x14ac:dyDescent="0.2">
      <c r="A32" s="113" t="s">
        <v>51</v>
      </c>
      <c r="B32" s="113"/>
      <c r="C32" s="113"/>
      <c r="D32" s="113"/>
      <c r="E32" s="113"/>
      <c r="F32" s="113"/>
      <c r="G32" s="113"/>
      <c r="H32" s="76" t="str">
        <f>G2</f>
        <v>MusterTP                       Musterstraße                    Musterort</v>
      </c>
      <c r="I32" s="75">
        <f>I2</f>
        <v>44927</v>
      </c>
      <c r="J32" s="81"/>
      <c r="K32" s="81"/>
      <c r="L32" s="81"/>
      <c r="M32" s="81"/>
      <c r="N32" s="80"/>
      <c r="O32" s="80"/>
      <c r="P32" s="80"/>
    </row>
    <row r="33" spans="2:18" ht="33.950000000000003" customHeight="1" x14ac:dyDescent="0.35">
      <c r="E33" s="58"/>
      <c r="F33" s="58"/>
      <c r="G33" s="130">
        <f>C30</f>
        <v>960.26000000000022</v>
      </c>
      <c r="H33" s="55" t="s">
        <v>14</v>
      </c>
      <c r="I33" s="131">
        <f>IF(G33&lt;520,0,IF(G33&lt;1131.67,165.22,IF(G33&gt;1131.67,G33*14.6%)))</f>
        <v>165.22</v>
      </c>
      <c r="J33" s="86">
        <v>0.14899999999999999</v>
      </c>
      <c r="K33" s="53"/>
      <c r="L33" s="53"/>
      <c r="M33" s="80"/>
      <c r="N33" s="80"/>
      <c r="O33" s="80"/>
      <c r="P33" s="80"/>
      <c r="Q33" s="80"/>
      <c r="R33" s="80"/>
    </row>
    <row r="34" spans="2:18" ht="46.7" customHeight="1" x14ac:dyDescent="0.35">
      <c r="C34" s="49">
        <f>C26</f>
        <v>2260.2600000000002</v>
      </c>
      <c r="D34" s="2" t="s">
        <v>36</v>
      </c>
      <c r="E34" s="57"/>
      <c r="F34" s="57"/>
      <c r="G34" s="53"/>
      <c r="H34" s="55" t="s">
        <v>15</v>
      </c>
      <c r="I34" s="131">
        <f>IF(G33&lt;520,0,IF(G33&lt;1331.67,45.27,IF(G33&gt;1331.67,G33*3.4%)))</f>
        <v>45.27</v>
      </c>
      <c r="J34" s="53" t="s">
        <v>37</v>
      </c>
      <c r="K34" s="53"/>
      <c r="L34" s="53"/>
      <c r="M34" s="80"/>
      <c r="N34" s="80"/>
      <c r="O34" s="80"/>
      <c r="P34" s="80"/>
      <c r="Q34" s="80"/>
      <c r="R34" s="80"/>
    </row>
    <row r="35" spans="2:18" ht="46.7" customHeight="1" x14ac:dyDescent="0.35">
      <c r="C35" s="49">
        <f>I30*-1</f>
        <v>-7</v>
      </c>
      <c r="D35" s="3" t="s">
        <v>16</v>
      </c>
      <c r="E35" s="55"/>
      <c r="F35" s="55"/>
      <c r="G35" s="53"/>
      <c r="H35" s="54">
        <f>1131.67*0.146</f>
        <v>165.22381999999999</v>
      </c>
      <c r="I35" s="85"/>
      <c r="J35" s="54"/>
      <c r="K35" s="54"/>
      <c r="L35" s="54"/>
      <c r="M35" s="80"/>
      <c r="N35" s="80"/>
      <c r="O35" s="80"/>
      <c r="P35" s="80"/>
      <c r="Q35" s="80"/>
      <c r="R35" s="80"/>
    </row>
    <row r="36" spans="2:18" ht="46.7" customHeight="1" x14ac:dyDescent="0.35">
      <c r="C36" s="49">
        <f>I31*-1</f>
        <v>-178.60836000000006</v>
      </c>
      <c r="D36" s="3" t="s">
        <v>64</v>
      </c>
      <c r="E36" s="61"/>
      <c r="F36" s="55"/>
      <c r="G36" s="53"/>
      <c r="H36" s="54">
        <f>1061.67*0.034</f>
        <v>36.096780000000003</v>
      </c>
      <c r="I36" s="54"/>
      <c r="J36" s="54"/>
      <c r="K36" s="54"/>
      <c r="L36" s="54"/>
      <c r="M36" s="80"/>
      <c r="N36" s="80"/>
      <c r="O36" s="80"/>
      <c r="P36" s="80"/>
      <c r="Q36" s="80"/>
      <c r="R36" s="80"/>
    </row>
    <row r="37" spans="2:18" ht="46.7" customHeight="1" x14ac:dyDescent="0.35">
      <c r="C37" s="49">
        <f>I33*-1</f>
        <v>-165.22</v>
      </c>
      <c r="D37" s="3" t="s">
        <v>18</v>
      </c>
      <c r="E37" s="61"/>
      <c r="F37" s="55"/>
      <c r="G37" s="53"/>
      <c r="H37" s="54">
        <v>3395</v>
      </c>
      <c r="I37" s="54"/>
      <c r="J37" s="54"/>
      <c r="K37" s="54"/>
      <c r="L37" s="54"/>
      <c r="M37" s="80"/>
      <c r="N37" s="80"/>
      <c r="O37" s="80"/>
      <c r="P37" s="80"/>
      <c r="Q37" s="80"/>
      <c r="R37" s="80"/>
    </row>
    <row r="38" spans="2:18" ht="46.7" customHeight="1" x14ac:dyDescent="0.35">
      <c r="B38" s="62">
        <f>SUM(C35:C38)</f>
        <v>-396.09836000000007</v>
      </c>
      <c r="C38" s="49">
        <f>I34*-1</f>
        <v>-45.27</v>
      </c>
      <c r="D38" s="4" t="s">
        <v>15</v>
      </c>
      <c r="E38" s="63"/>
      <c r="F38" s="55"/>
      <c r="G38" s="53"/>
      <c r="H38" s="54"/>
      <c r="I38" s="54"/>
      <c r="J38" s="54"/>
      <c r="K38" s="54"/>
      <c r="L38" s="54"/>
      <c r="M38" s="80"/>
      <c r="N38" s="80"/>
      <c r="O38" s="80"/>
      <c r="P38" s="80"/>
      <c r="Q38" s="80"/>
      <c r="R38" s="80"/>
    </row>
    <row r="39" spans="2:18" ht="46.7" customHeight="1" x14ac:dyDescent="0.35">
      <c r="C39" s="60">
        <f>C34+SUM(C35:C38)</f>
        <v>1864.1616400000003</v>
      </c>
      <c r="D39" s="5" t="s">
        <v>41</v>
      </c>
      <c r="E39" s="65"/>
      <c r="F39" s="65"/>
      <c r="G39" s="64"/>
    </row>
    <row r="40" spans="2:18" ht="46.7" customHeight="1" x14ac:dyDescent="0.35">
      <c r="C40" s="49">
        <f>C36/-2</f>
        <v>89.304180000000031</v>
      </c>
      <c r="D40" s="117" t="s">
        <v>19</v>
      </c>
      <c r="E40" s="117"/>
      <c r="F40" s="117"/>
      <c r="G40" s="117"/>
      <c r="H40" s="116" t="s">
        <v>20</v>
      </c>
      <c r="I40" s="116"/>
      <c r="J40" s="116"/>
      <c r="K40" s="116"/>
      <c r="L40" s="116"/>
    </row>
    <row r="41" spans="2:18" ht="46.7" customHeight="1" x14ac:dyDescent="0.35">
      <c r="C41" s="49">
        <f>C37/-2</f>
        <v>82.61</v>
      </c>
      <c r="D41" s="117" t="s">
        <v>21</v>
      </c>
      <c r="E41" s="117"/>
      <c r="F41" s="117"/>
      <c r="G41" s="117"/>
      <c r="H41" s="116"/>
      <c r="I41" s="116"/>
      <c r="J41" s="116"/>
      <c r="K41" s="116"/>
      <c r="L41" s="116"/>
    </row>
    <row r="42" spans="2:18" ht="46.7" customHeight="1" x14ac:dyDescent="0.35">
      <c r="C42" s="49">
        <f>C38/-2</f>
        <v>22.635000000000002</v>
      </c>
      <c r="D42" s="117" t="s">
        <v>22</v>
      </c>
      <c r="E42" s="117"/>
      <c r="F42" s="117"/>
      <c r="G42" s="117"/>
      <c r="H42" s="116"/>
      <c r="I42" s="116"/>
      <c r="J42" s="116"/>
      <c r="K42" s="116"/>
      <c r="L42" s="116"/>
    </row>
    <row r="43" spans="2:18" ht="46.7" customHeight="1" x14ac:dyDescent="0.35">
      <c r="C43" s="49">
        <v>8.4700000000000006</v>
      </c>
      <c r="D43" s="117" t="s">
        <v>23</v>
      </c>
      <c r="E43" s="117"/>
      <c r="F43" s="117"/>
      <c r="G43" s="117"/>
      <c r="H43" s="116"/>
      <c r="I43" s="116"/>
      <c r="J43" s="116"/>
      <c r="K43" s="116"/>
      <c r="L43" s="116"/>
    </row>
    <row r="44" spans="2:18" ht="46.7" customHeight="1" x14ac:dyDescent="0.35">
      <c r="C44" s="49">
        <v>-8.4700000000000006</v>
      </c>
      <c r="D44" s="118" t="s">
        <v>38</v>
      </c>
      <c r="E44" s="119"/>
      <c r="F44" s="119"/>
      <c r="G44" s="120"/>
      <c r="H44" s="66"/>
      <c r="I44" s="66"/>
      <c r="J44" s="67"/>
      <c r="K44" s="66"/>
      <c r="L44" s="66"/>
    </row>
    <row r="45" spans="2:18" ht="46.7" customHeight="1" x14ac:dyDescent="0.35">
      <c r="C45" s="68">
        <f>SUM(C39:C42)</f>
        <v>2058.7108200000002</v>
      </c>
      <c r="D45" s="127" t="s">
        <v>39</v>
      </c>
      <c r="E45" s="127"/>
      <c r="F45" s="127"/>
      <c r="G45" s="127"/>
      <c r="H45" s="116" t="s">
        <v>24</v>
      </c>
      <c r="I45" s="116"/>
      <c r="J45" s="116"/>
      <c r="K45" s="116"/>
      <c r="L45" s="116"/>
    </row>
    <row r="46" spans="2:18" ht="46.7" customHeight="1" x14ac:dyDescent="0.2">
      <c r="H46" s="116"/>
      <c r="I46" s="116"/>
      <c r="J46" s="116"/>
      <c r="K46" s="116"/>
      <c r="L46" s="116"/>
    </row>
    <row r="47" spans="2:18" ht="46.7" customHeight="1" x14ac:dyDescent="0.2">
      <c r="H47" s="116"/>
      <c r="I47" s="116"/>
      <c r="J47" s="116"/>
      <c r="K47" s="116"/>
      <c r="L47" s="116"/>
    </row>
    <row r="48" spans="2:18" ht="46.7" customHeight="1" x14ac:dyDescent="0.3">
      <c r="B48" s="69"/>
      <c r="C48" s="71">
        <f>C45</f>
        <v>2058.7108200000002</v>
      </c>
      <c r="D48" s="128" t="s">
        <v>39</v>
      </c>
      <c r="E48" s="129"/>
      <c r="F48" s="129"/>
      <c r="G48" s="129"/>
      <c r="H48" s="116"/>
      <c r="I48" s="116"/>
      <c r="J48" s="116"/>
      <c r="K48" s="116"/>
      <c r="L48" s="116"/>
    </row>
    <row r="49" spans="2:12" ht="46.7" customHeight="1" x14ac:dyDescent="0.25">
      <c r="B49" s="70">
        <f>E22</f>
        <v>0</v>
      </c>
      <c r="C49" s="94">
        <f>H22*-1</f>
        <v>-1300</v>
      </c>
      <c r="D49" s="96" t="s">
        <v>61</v>
      </c>
      <c r="E49" s="96"/>
      <c r="F49" s="96"/>
      <c r="G49" s="97"/>
      <c r="H49" s="116"/>
      <c r="I49" s="116"/>
      <c r="J49" s="116"/>
      <c r="K49" s="116"/>
      <c r="L49" s="116"/>
    </row>
    <row r="50" spans="2:12" ht="46.7" customHeight="1" x14ac:dyDescent="0.35">
      <c r="B50" s="70"/>
      <c r="C50" s="95">
        <f>C48+C49</f>
        <v>758.71082000000024</v>
      </c>
      <c r="D50" s="107" t="s">
        <v>62</v>
      </c>
      <c r="E50" s="107"/>
      <c r="F50" s="107"/>
      <c r="G50" s="108"/>
      <c r="H50" s="82"/>
      <c r="I50" s="66"/>
      <c r="J50" s="82"/>
      <c r="K50" s="82"/>
      <c r="L50" s="82"/>
    </row>
    <row r="51" spans="2:12" ht="46.7" customHeight="1" x14ac:dyDescent="0.3">
      <c r="B51" s="70"/>
      <c r="C51" s="71">
        <f>IF(F22&gt;0,F22*-1,E22*-1)</f>
        <v>-701.46</v>
      </c>
      <c r="D51" s="109" t="s">
        <v>57</v>
      </c>
      <c r="E51" s="109"/>
      <c r="F51" s="109"/>
      <c r="G51" s="110"/>
      <c r="H51" s="82"/>
      <c r="I51" s="82"/>
      <c r="J51" s="82"/>
      <c r="K51" s="82"/>
      <c r="L51" s="82"/>
    </row>
    <row r="52" spans="2:12" ht="46.7" customHeight="1" x14ac:dyDescent="0.35">
      <c r="B52" s="70"/>
      <c r="C52" s="72">
        <f>C48+C51</f>
        <v>1357.2508200000002</v>
      </c>
      <c r="D52" s="111" t="s">
        <v>40</v>
      </c>
      <c r="E52" s="111"/>
      <c r="F52" s="111"/>
      <c r="G52" s="112"/>
      <c r="H52" s="82"/>
      <c r="I52" s="82"/>
      <c r="J52" s="82"/>
      <c r="K52" s="82"/>
      <c r="L52" s="82"/>
    </row>
  </sheetData>
  <sheetProtection password="C8DD" sheet="1" selectLockedCells="1"/>
  <mergeCells count="19">
    <mergeCell ref="D52:G52"/>
    <mergeCell ref="A1:M1"/>
    <mergeCell ref="A32:G32"/>
    <mergeCell ref="A2:C2"/>
    <mergeCell ref="H45:L49"/>
    <mergeCell ref="D40:G40"/>
    <mergeCell ref="H40:L43"/>
    <mergeCell ref="D41:G41"/>
    <mergeCell ref="D42:G42"/>
    <mergeCell ref="D43:G43"/>
    <mergeCell ref="D44:G44"/>
    <mergeCell ref="A20:C21"/>
    <mergeCell ref="D45:G45"/>
    <mergeCell ref="D48:G48"/>
    <mergeCell ref="D49:G49"/>
    <mergeCell ref="D20:D21"/>
    <mergeCell ref="E20:I21"/>
    <mergeCell ref="D50:G50"/>
    <mergeCell ref="D51:G51"/>
  </mergeCells>
  <phoneticPr fontId="10" type="noConversion"/>
  <pageMargins left="0.39370078740157483" right="0.39370078740157483" top="0.19685039370078741" bottom="0.19685039370078741" header="0.51181102362204722" footer="0.51181102362204722"/>
  <pageSetup paperSize="9" scale="55" firstPageNumber="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4"/>
  <sheetViews>
    <sheetView zoomScale="75" zoomScaleNormal="75" workbookViewId="0">
      <selection sqref="A1:XFD1048576"/>
    </sheetView>
  </sheetViews>
  <sheetFormatPr baseColWidth="10" defaultRowHeight="27" x14ac:dyDescent="0.35"/>
  <cols>
    <col min="1" max="1" width="46.140625" style="135" customWidth="1"/>
    <col min="2" max="2" width="29.85546875" style="135" customWidth="1"/>
    <col min="3" max="4" width="13.140625" style="135" customWidth="1"/>
    <col min="5" max="5" width="23.42578125" style="135" customWidth="1"/>
    <col min="6" max="6" width="26.28515625" style="135" customWidth="1"/>
    <col min="7" max="7" width="19" style="135" customWidth="1"/>
    <col min="8" max="8" width="24.42578125" style="135" customWidth="1"/>
    <col min="9" max="16384" width="11.42578125" style="135"/>
  </cols>
  <sheetData>
    <row r="1" spans="1:8" ht="27.75" x14ac:dyDescent="0.4">
      <c r="A1" s="134" t="s">
        <v>25</v>
      </c>
      <c r="B1" s="134"/>
      <c r="C1" s="134"/>
      <c r="D1" s="134"/>
      <c r="E1" s="134"/>
      <c r="F1" s="134"/>
      <c r="G1" s="134"/>
      <c r="H1" s="134"/>
    </row>
    <row r="2" spans="1:8" x14ac:dyDescent="0.35">
      <c r="A2" s="136"/>
      <c r="B2" s="137"/>
      <c r="C2" s="137"/>
      <c r="D2" s="137"/>
      <c r="E2" s="137"/>
      <c r="F2" s="137"/>
      <c r="G2" s="137"/>
      <c r="H2" s="138"/>
    </row>
    <row r="3" spans="1:8" x14ac:dyDescent="0.35">
      <c r="A3" s="139" t="s">
        <v>26</v>
      </c>
      <c r="B3" s="139"/>
      <c r="C3" s="139"/>
      <c r="D3" s="139"/>
      <c r="E3" s="139"/>
      <c r="F3" s="139"/>
      <c r="G3" s="140" t="s">
        <v>27</v>
      </c>
      <c r="H3" s="139" t="s">
        <v>28</v>
      </c>
    </row>
    <row r="4" spans="1:8" x14ac:dyDescent="0.35">
      <c r="A4" s="141">
        <v>10908</v>
      </c>
      <c r="B4" s="142"/>
      <c r="C4" s="139"/>
      <c r="D4" s="139"/>
      <c r="E4" s="139"/>
      <c r="F4" s="143" t="b">
        <f>IF(A4&lt;9000,"0")</f>
        <v>0</v>
      </c>
      <c r="G4" s="144"/>
      <c r="H4" s="141">
        <f>A4*2</f>
        <v>21816</v>
      </c>
    </row>
    <row r="5" spans="1:8" x14ac:dyDescent="0.35">
      <c r="A5" s="145">
        <f>IF('20xx'!G30&lt;A8,'20xx'!G30)</f>
        <v>11523</v>
      </c>
      <c r="B5" s="139"/>
      <c r="C5" s="139"/>
      <c r="D5" s="139"/>
      <c r="E5" s="139"/>
      <c r="F5" s="139"/>
      <c r="G5" s="144"/>
      <c r="H5" s="139">
        <f>A5*2</f>
        <v>23046</v>
      </c>
    </row>
    <row r="6" spans="1:8" ht="27.75" x14ac:dyDescent="0.4">
      <c r="A6" s="139">
        <f>A5-A4</f>
        <v>615</v>
      </c>
      <c r="B6" s="139">
        <f>A6/10000</f>
        <v>6.1499999999999999E-2</v>
      </c>
      <c r="C6" s="139">
        <v>979.18</v>
      </c>
      <c r="D6" s="139">
        <v>1400</v>
      </c>
      <c r="E6" s="139">
        <f>(C6*B6+D6)*B6</f>
        <v>89.803503554999992</v>
      </c>
      <c r="F6" s="146">
        <f>ROUNDDOWN(E6,0)</f>
        <v>89</v>
      </c>
      <c r="G6" s="147">
        <f>ROUNDDOWN(F6/12,0)</f>
        <v>7</v>
      </c>
      <c r="H6" s="146">
        <f>ROUNDDOWN(F6,0)*2</f>
        <v>178</v>
      </c>
    </row>
    <row r="7" spans="1:8" x14ac:dyDescent="0.35">
      <c r="A7" s="139"/>
      <c r="B7" s="139"/>
      <c r="C7" s="139"/>
      <c r="D7" s="139"/>
      <c r="E7" s="139"/>
      <c r="F7" s="139"/>
      <c r="G7" s="147"/>
      <c r="H7" s="139"/>
    </row>
    <row r="8" spans="1:8" x14ac:dyDescent="0.35">
      <c r="A8" s="141">
        <v>15999</v>
      </c>
      <c r="B8" s="139"/>
      <c r="C8" s="139"/>
      <c r="D8" s="139"/>
      <c r="E8" s="139"/>
      <c r="F8" s="139"/>
      <c r="G8" s="147"/>
      <c r="H8" s="141">
        <f>A8*2</f>
        <v>31998</v>
      </c>
    </row>
    <row r="9" spans="1:8" ht="27.75" x14ac:dyDescent="0.4">
      <c r="A9" s="148" t="b">
        <f>IF(AND('20xx'!G30&gt;A8,'20xx'!G30&lt;A12),'20xx'!G30)</f>
        <v>0</v>
      </c>
      <c r="B9" s="142"/>
      <c r="C9" s="142"/>
      <c r="D9" s="142"/>
      <c r="E9" s="142"/>
      <c r="F9" s="142"/>
      <c r="G9" s="147"/>
      <c r="H9" s="139">
        <f>A9*2</f>
        <v>0</v>
      </c>
    </row>
    <row r="10" spans="1:8" ht="27.75" x14ac:dyDescent="0.4">
      <c r="A10" s="142">
        <f>(A9-A8)</f>
        <v>-15999</v>
      </c>
      <c r="B10" s="142">
        <f>A10/10000</f>
        <v>-1.5999000000000001</v>
      </c>
      <c r="C10" s="142">
        <v>192.59</v>
      </c>
      <c r="D10" s="142">
        <v>2397</v>
      </c>
      <c r="E10" s="142">
        <f>(B10*C10+D10)*B10+966.53</f>
        <v>-2375.4615268740999</v>
      </c>
      <c r="F10" s="146">
        <f>ROUNDDOWN(E10,0)</f>
        <v>-2375</v>
      </c>
      <c r="G10" s="147">
        <f>ROUNDDOWN(F10/12,0)</f>
        <v>-197</v>
      </c>
      <c r="H10" s="146">
        <f>F10*2</f>
        <v>-4750</v>
      </c>
    </row>
    <row r="11" spans="1:8" x14ac:dyDescent="0.35">
      <c r="A11" s="142"/>
      <c r="B11" s="142"/>
      <c r="C11" s="142"/>
      <c r="D11" s="142"/>
      <c r="E11" s="142"/>
      <c r="F11" s="142"/>
      <c r="G11" s="147"/>
      <c r="H11" s="142"/>
    </row>
    <row r="12" spans="1:8" x14ac:dyDescent="0.35">
      <c r="A12" s="141">
        <v>62809</v>
      </c>
      <c r="B12" s="142"/>
      <c r="C12" s="142"/>
      <c r="D12" s="142"/>
      <c r="E12" s="142"/>
      <c r="F12" s="142"/>
      <c r="G12" s="147"/>
      <c r="H12" s="141">
        <f>A12*2-2</f>
        <v>125616</v>
      </c>
    </row>
    <row r="13" spans="1:8" ht="27.75" x14ac:dyDescent="0.4">
      <c r="A13" s="148" t="b">
        <f>IF('20xx'!G30&gt;57052,'20xx'!G30)</f>
        <v>0</v>
      </c>
      <c r="B13" s="142">
        <v>0.42</v>
      </c>
      <c r="C13" s="142">
        <v>9972.98</v>
      </c>
      <c r="D13" s="142"/>
      <c r="E13" s="142">
        <f>A13*B13-C13</f>
        <v>-9972.98</v>
      </c>
      <c r="F13" s="146">
        <f>ROUNDDOWN(E13,0)</f>
        <v>-9972</v>
      </c>
      <c r="G13" s="147">
        <f>ROUNDDOWN(F13/12,0)</f>
        <v>-831</v>
      </c>
      <c r="H13" s="139">
        <f>A13*2</f>
        <v>0</v>
      </c>
    </row>
    <row r="14" spans="1:8" ht="27.75" x14ac:dyDescent="0.4">
      <c r="A14" s="149"/>
      <c r="B14" s="144"/>
      <c r="C14" s="144"/>
      <c r="D14" s="144"/>
      <c r="E14" s="144"/>
      <c r="F14" s="144"/>
      <c r="G14" s="144"/>
      <c r="H14" s="146">
        <f>F13*2</f>
        <v>-19944</v>
      </c>
    </row>
    <row r="15" spans="1:8" x14ac:dyDescent="0.35">
      <c r="A15" s="149"/>
      <c r="B15" s="144"/>
      <c r="C15" s="144"/>
      <c r="D15" s="144"/>
      <c r="E15" s="144"/>
      <c r="F15" s="144"/>
      <c r="G15" s="144"/>
      <c r="H15" s="150"/>
    </row>
    <row r="16" spans="1:8" x14ac:dyDescent="0.35">
      <c r="A16" s="149"/>
      <c r="B16" s="144"/>
      <c r="C16" s="144"/>
      <c r="D16" s="144"/>
      <c r="E16" s="144"/>
      <c r="F16" s="144"/>
      <c r="G16" s="144"/>
      <c r="H16" s="150"/>
    </row>
    <row r="17" spans="1:8" x14ac:dyDescent="0.35">
      <c r="A17" s="151" t="s">
        <v>29</v>
      </c>
      <c r="B17" s="152"/>
      <c r="C17" s="152"/>
      <c r="D17" s="144"/>
      <c r="E17" s="144"/>
      <c r="F17" s="144"/>
      <c r="G17" s="144"/>
      <c r="H17" s="150"/>
    </row>
    <row r="18" spans="1:8" x14ac:dyDescent="0.35">
      <c r="A18" s="153" t="s">
        <v>11</v>
      </c>
      <c r="B18" s="154"/>
      <c r="C18" s="154"/>
      <c r="D18" s="144"/>
      <c r="E18" s="144"/>
      <c r="F18" s="144"/>
      <c r="G18" s="144"/>
      <c r="H18" s="150"/>
    </row>
    <row r="19" spans="1:8" ht="27.75" x14ac:dyDescent="0.4">
      <c r="A19" s="155" t="s">
        <v>30</v>
      </c>
      <c r="B19" s="156"/>
      <c r="C19" s="156"/>
      <c r="D19" s="157"/>
      <c r="E19" s="157"/>
      <c r="F19" s="157"/>
      <c r="G19" s="157"/>
      <c r="H19" s="158"/>
    </row>
    <row r="20" spans="1:8" x14ac:dyDescent="0.35">
      <c r="H20" s="159"/>
    </row>
    <row r="21" spans="1:8" x14ac:dyDescent="0.35">
      <c r="H21" s="159"/>
    </row>
    <row r="22" spans="1:8" ht="27.75" x14ac:dyDescent="0.4">
      <c r="A22" s="160" t="s">
        <v>31</v>
      </c>
      <c r="B22" s="160"/>
      <c r="C22" s="160"/>
      <c r="D22" s="160"/>
      <c r="E22" s="160"/>
      <c r="F22" s="160"/>
      <c r="G22" s="161"/>
      <c r="H22" s="162"/>
    </row>
    <row r="23" spans="1:8" x14ac:dyDescent="0.35">
      <c r="A23" s="136"/>
      <c r="B23" s="137"/>
      <c r="C23" s="137"/>
      <c r="D23" s="137"/>
      <c r="E23" s="137"/>
      <c r="F23" s="137"/>
      <c r="G23" s="137"/>
      <c r="H23" s="137"/>
    </row>
    <row r="24" spans="1:8" x14ac:dyDescent="0.35">
      <c r="A24" s="139" t="s">
        <v>32</v>
      </c>
      <c r="B24" s="139"/>
      <c r="C24" s="139"/>
      <c r="D24" s="139"/>
      <c r="E24" s="139"/>
      <c r="F24" s="139"/>
      <c r="G24" s="140"/>
      <c r="H24" s="137"/>
    </row>
    <row r="25" spans="1:8" ht="27.75" x14ac:dyDescent="0.4">
      <c r="A25" s="141">
        <v>520</v>
      </c>
      <c r="B25" s="142"/>
      <c r="C25" s="139"/>
      <c r="D25" s="139"/>
      <c r="E25" s="139"/>
      <c r="F25" s="163" t="b">
        <f>IF(A25&lt;455,"0")</f>
        <v>0</v>
      </c>
      <c r="G25" s="144"/>
      <c r="H25" s="137"/>
    </row>
    <row r="26" spans="1:8" ht="27.75" x14ac:dyDescent="0.4">
      <c r="A26" s="148">
        <f>'20xx'!G33</f>
        <v>960.26000000000022</v>
      </c>
      <c r="B26" s="139"/>
      <c r="C26" s="139"/>
      <c r="D26" s="139"/>
      <c r="E26" s="139"/>
      <c r="F26" s="164">
        <f>IF(A26&lt;1331.67,165.22,IF(A26&gt;1331.67,A26*14.6%))</f>
        <v>165.22</v>
      </c>
      <c r="G26" s="144"/>
      <c r="H26" s="137"/>
    </row>
    <row r="27" spans="1:8" ht="27.75" x14ac:dyDescent="0.4">
      <c r="A27" s="139" t="s">
        <v>7</v>
      </c>
      <c r="B27" s="139"/>
      <c r="C27" s="139"/>
      <c r="D27" s="139"/>
      <c r="E27" s="139"/>
      <c r="F27" s="165"/>
      <c r="G27" s="147"/>
      <c r="H27" s="166"/>
    </row>
    <row r="28" spans="1:8" x14ac:dyDescent="0.35">
      <c r="A28" s="139" t="s">
        <v>17</v>
      </c>
      <c r="B28" s="139"/>
      <c r="C28" s="139"/>
      <c r="D28" s="139"/>
      <c r="E28" s="139"/>
      <c r="F28" s="139"/>
      <c r="G28" s="147"/>
      <c r="H28" s="137"/>
    </row>
    <row r="29" spans="1:8" ht="27.75" x14ac:dyDescent="0.4">
      <c r="A29" s="141">
        <v>520</v>
      </c>
      <c r="B29" s="139"/>
      <c r="C29" s="139"/>
      <c r="D29" s="139"/>
      <c r="E29" s="139"/>
      <c r="F29" s="163" t="b">
        <f>IF(A29&lt;450,0)</f>
        <v>0</v>
      </c>
      <c r="G29" s="147"/>
      <c r="H29" s="137"/>
    </row>
    <row r="30" spans="1:8" ht="27.75" x14ac:dyDescent="0.4">
      <c r="A30" s="148">
        <f>'20xx'!G33</f>
        <v>960.26000000000022</v>
      </c>
      <c r="B30" s="142"/>
      <c r="C30" s="142"/>
      <c r="D30" s="142"/>
      <c r="E30" s="142"/>
      <c r="F30" s="167">
        <f>IF(A30&gt;520,A30*18.6%)</f>
        <v>178.60836000000006</v>
      </c>
      <c r="G30" s="147"/>
      <c r="H30" s="137"/>
    </row>
    <row r="31" spans="1:8" ht="27.75" x14ac:dyDescent="0.4">
      <c r="A31" s="142"/>
      <c r="B31" s="142"/>
      <c r="C31" s="142"/>
      <c r="D31" s="142"/>
      <c r="E31" s="142"/>
      <c r="F31" s="168"/>
      <c r="G31" s="147"/>
      <c r="H31" s="166"/>
    </row>
    <row r="32" spans="1:8" x14ac:dyDescent="0.35">
      <c r="A32" s="139" t="s">
        <v>33</v>
      </c>
      <c r="B32" s="139"/>
      <c r="C32" s="139"/>
      <c r="D32" s="139"/>
      <c r="E32" s="139"/>
      <c r="F32" s="139"/>
      <c r="H32" s="159"/>
    </row>
    <row r="33" spans="1:8" ht="27.75" x14ac:dyDescent="0.4">
      <c r="A33" s="141">
        <v>520</v>
      </c>
      <c r="B33" s="142"/>
      <c r="C33" s="139"/>
      <c r="D33" s="139"/>
      <c r="E33" s="139"/>
      <c r="F33" s="163" t="b">
        <f>IF(A33&lt;455,"0")</f>
        <v>0</v>
      </c>
      <c r="H33" s="159"/>
    </row>
    <row r="34" spans="1:8" ht="27.75" x14ac:dyDescent="0.4">
      <c r="A34" s="148">
        <f>'20xx'!G33</f>
        <v>960.26000000000022</v>
      </c>
      <c r="B34" s="139"/>
      <c r="C34" s="139"/>
      <c r="D34" s="139"/>
      <c r="E34" s="139"/>
      <c r="F34" s="164">
        <f>IF(A34&gt;520,A34*3.4%)</f>
        <v>32.648840000000007</v>
      </c>
    </row>
  </sheetData>
  <sheetProtection password="C8DD" sheet="1" selectLockedCells="1"/>
  <mergeCells count="1">
    <mergeCell ref="A1:H1"/>
  </mergeCells>
  <phoneticPr fontId="10"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workbookViewId="0">
      <selection activeCell="C17" sqref="C17:C18"/>
    </sheetView>
  </sheetViews>
  <sheetFormatPr baseColWidth="10" defaultRowHeight="12.75" x14ac:dyDescent="0.2"/>
  <cols>
    <col min="1" max="1" width="21.140625" style="169" customWidth="1"/>
    <col min="2" max="2" width="16" style="169" customWidth="1"/>
    <col min="3" max="3" width="16.28515625" style="169" bestFit="1" customWidth="1"/>
    <col min="4" max="4" width="17.85546875" style="169" bestFit="1" customWidth="1"/>
    <col min="5" max="5" width="11.85546875" style="169" bestFit="1" customWidth="1"/>
    <col min="6" max="6" width="17.28515625" style="169" bestFit="1" customWidth="1"/>
    <col min="7" max="7" width="17.85546875" style="169" bestFit="1" customWidth="1"/>
    <col min="8" max="8" width="11.85546875" style="169" bestFit="1" customWidth="1"/>
    <col min="9" max="16384" width="11.42578125" style="169"/>
  </cols>
  <sheetData>
    <row r="2" spans="1:8" x14ac:dyDescent="0.2">
      <c r="A2" s="169" t="s">
        <v>66</v>
      </c>
    </row>
    <row r="3" spans="1:8" x14ac:dyDescent="0.2">
      <c r="A3" s="169" t="s">
        <v>67</v>
      </c>
    </row>
    <row r="5" spans="1:8" x14ac:dyDescent="0.2">
      <c r="A5" s="169" t="s">
        <v>68</v>
      </c>
      <c r="B5" s="169" t="s">
        <v>69</v>
      </c>
      <c r="C5" s="169" t="s">
        <v>70</v>
      </c>
      <c r="F5" s="169" t="s">
        <v>71</v>
      </c>
    </row>
    <row r="6" spans="1:8" x14ac:dyDescent="0.2">
      <c r="C6" s="169" t="s">
        <v>72</v>
      </c>
      <c r="D6" s="169" t="s">
        <v>73</v>
      </c>
      <c r="E6" s="169" t="s">
        <v>74</v>
      </c>
      <c r="F6" s="169" t="s">
        <v>72</v>
      </c>
      <c r="G6" s="169" t="s">
        <v>73</v>
      </c>
      <c r="H6" s="169" t="s">
        <v>74</v>
      </c>
    </row>
    <row r="7" spans="1:8" x14ac:dyDescent="0.2">
      <c r="A7" s="169">
        <v>2022</v>
      </c>
      <c r="B7" s="170">
        <v>0.186</v>
      </c>
      <c r="C7" s="169" t="s">
        <v>75</v>
      </c>
      <c r="D7" s="169" t="s">
        <v>76</v>
      </c>
      <c r="E7" s="169" t="s">
        <v>77</v>
      </c>
      <c r="F7" s="169" t="s">
        <v>78</v>
      </c>
      <c r="G7" s="169" t="s">
        <v>79</v>
      </c>
      <c r="H7" s="169" t="s">
        <v>80</v>
      </c>
    </row>
    <row r="8" spans="1:8" x14ac:dyDescent="0.2">
      <c r="A8" s="169">
        <v>2023</v>
      </c>
      <c r="B8" s="170">
        <v>0.186</v>
      </c>
      <c r="C8" s="169" t="s">
        <v>81</v>
      </c>
      <c r="D8" s="169" t="s">
        <v>82</v>
      </c>
      <c r="E8" s="169" t="s">
        <v>83</v>
      </c>
      <c r="F8" s="169" t="s">
        <v>75</v>
      </c>
      <c r="G8" s="169" t="s">
        <v>76</v>
      </c>
      <c r="H8" s="169" t="s">
        <v>77</v>
      </c>
    </row>
    <row r="9" spans="1:8" x14ac:dyDescent="0.2">
      <c r="B9" s="170"/>
    </row>
    <row r="10" spans="1:8" x14ac:dyDescent="0.2">
      <c r="A10" s="169" t="s">
        <v>84</v>
      </c>
    </row>
  </sheetData>
  <sheetProtection password="C8DD"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20xx</vt:lpstr>
      <vt:lpstr>Steuertabelle</vt:lpstr>
      <vt:lpstr>Bemessungsgrenzen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Kreuchauff, Karsten</dc:creator>
  <cp:lastModifiedBy>Kreuchauff, Karsten</cp:lastModifiedBy>
  <cp:lastPrinted>2019-04-04T08:14:43Z</cp:lastPrinted>
  <dcterms:created xsi:type="dcterms:W3CDTF">2008-12-17T08:40:25Z</dcterms:created>
  <dcterms:modified xsi:type="dcterms:W3CDTF">2023-06-07T12:06:56Z</dcterms:modified>
</cp:coreProperties>
</file>